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 defaultThemeVersion="166925"/>
  <xr:revisionPtr revIDLastSave="0" documentId="13_ncr:1_{52440F2B-3430-4E15-A456-17C2C72451E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roject Title" sheetId="9" r:id="rId1"/>
    <sheet name="Summary" sheetId="8" r:id="rId2"/>
    <sheet name="Macro" sheetId="1" r:id="rId3"/>
    <sheet name="Assumptions" sheetId="2" r:id="rId4"/>
    <sheet name="Reports" sheetId="3" r:id="rId5"/>
    <sheet name="Analysis" sheetId="4" r:id="rId6"/>
    <sheet name="Charts" sheetId="6" r:id="rId7"/>
    <sheet name="Scenario Analysis" sheetId="7" r:id="rId8"/>
    <sheet name="Eid Expense" sheetId="5" state="hidden" r:id="rId9"/>
  </sheets>
  <definedNames>
    <definedName name="Currency">Macro!$C$14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8" l="1"/>
  <c r="C12" i="8"/>
  <c r="C11" i="8"/>
  <c r="C9" i="8"/>
  <c r="B16" i="8"/>
  <c r="B11" i="8"/>
  <c r="B9" i="8"/>
  <c r="B4" i="7"/>
  <c r="E190" i="2" l="1"/>
  <c r="B11" i="2"/>
  <c r="C30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X10" i="7"/>
  <c r="X15" i="2" s="1"/>
  <c r="W10" i="7"/>
  <c r="W15" i="2" s="1"/>
  <c r="V10" i="7"/>
  <c r="V15" i="2" s="1"/>
  <c r="U10" i="7"/>
  <c r="U15" i="2" s="1"/>
  <c r="T10" i="7"/>
  <c r="T15" i="2" s="1"/>
  <c r="S10" i="7"/>
  <c r="S15" i="2" s="1"/>
  <c r="R10" i="7"/>
  <c r="R15" i="2" s="1"/>
  <c r="Q10" i="7"/>
  <c r="Q15" i="2" s="1"/>
  <c r="P10" i="7"/>
  <c r="P15" i="2" s="1"/>
  <c r="O10" i="7"/>
  <c r="O15" i="2" s="1"/>
  <c r="N10" i="7"/>
  <c r="N15" i="2" s="1"/>
  <c r="M10" i="7"/>
  <c r="M15" i="2" s="1"/>
  <c r="L10" i="7"/>
  <c r="L15" i="2" s="1"/>
  <c r="K10" i="7"/>
  <c r="K15" i="2" s="1"/>
  <c r="J10" i="7"/>
  <c r="J15" i="2" s="1"/>
  <c r="I10" i="7"/>
  <c r="I15" i="2" s="1"/>
  <c r="H10" i="7"/>
  <c r="H15" i="2" s="1"/>
  <c r="G10" i="7"/>
  <c r="G15" i="2" s="1"/>
  <c r="F10" i="7"/>
  <c r="F15" i="2" s="1"/>
  <c r="X9" i="7"/>
  <c r="X9" i="2" s="1"/>
  <c r="W9" i="7"/>
  <c r="W9" i="2" s="1"/>
  <c r="V9" i="7"/>
  <c r="V9" i="2" s="1"/>
  <c r="U9" i="7"/>
  <c r="U9" i="2" s="1"/>
  <c r="T9" i="7"/>
  <c r="T9" i="2" s="1"/>
  <c r="S9" i="7"/>
  <c r="S9" i="2" s="1"/>
  <c r="R9" i="7"/>
  <c r="R9" i="2" s="1"/>
  <c r="Q9" i="7"/>
  <c r="Q9" i="2" s="1"/>
  <c r="P9" i="7"/>
  <c r="P9" i="2" s="1"/>
  <c r="O9" i="7"/>
  <c r="O9" i="2" s="1"/>
  <c r="N9" i="7"/>
  <c r="N9" i="2" s="1"/>
  <c r="M9" i="7"/>
  <c r="M9" i="2" s="1"/>
  <c r="L9" i="7"/>
  <c r="L9" i="2" s="1"/>
  <c r="K9" i="7"/>
  <c r="K9" i="2" s="1"/>
  <c r="J9" i="7"/>
  <c r="J9" i="2" s="1"/>
  <c r="I9" i="7"/>
  <c r="I9" i="2" s="1"/>
  <c r="H9" i="7"/>
  <c r="H9" i="2" s="1"/>
  <c r="G9" i="7"/>
  <c r="G9" i="2" s="1"/>
  <c r="F9" i="7"/>
  <c r="F9" i="2" s="1"/>
  <c r="E10" i="7"/>
  <c r="E15" i="2" s="1"/>
  <c r="E9" i="7"/>
  <c r="E9" i="2" s="1"/>
  <c r="C10" i="7"/>
  <c r="B10" i="7"/>
  <c r="B15" i="2" s="1"/>
  <c r="C9" i="7"/>
  <c r="B9" i="7"/>
  <c r="B9" i="2" s="1"/>
  <c r="A10" i="7"/>
  <c r="A9" i="7"/>
  <c r="A8" i="7"/>
  <c r="B5" i="8" s="1"/>
  <c r="T6" i="7"/>
  <c r="S6" i="7"/>
  <c r="H6" i="7"/>
  <c r="G6" i="7"/>
  <c r="X2" i="7"/>
  <c r="X13" i="7" s="1"/>
  <c r="W2" i="7"/>
  <c r="W13" i="7" s="1"/>
  <c r="V2" i="7"/>
  <c r="V13" i="7" s="1"/>
  <c r="U2" i="7"/>
  <c r="U13" i="7" s="1"/>
  <c r="T2" i="7"/>
  <c r="T13" i="7" s="1"/>
  <c r="S2" i="7"/>
  <c r="S13" i="7" s="1"/>
  <c r="R2" i="7"/>
  <c r="R13" i="7" s="1"/>
  <c r="Q2" i="7"/>
  <c r="Q13" i="7" s="1"/>
  <c r="P2" i="7"/>
  <c r="P13" i="7" s="1"/>
  <c r="O2" i="7"/>
  <c r="O13" i="7" s="1"/>
  <c r="N2" i="7"/>
  <c r="N13" i="7" s="1"/>
  <c r="M2" i="7"/>
  <c r="M13" i="7" s="1"/>
  <c r="L2" i="7"/>
  <c r="L13" i="7" s="1"/>
  <c r="K2" i="7"/>
  <c r="K13" i="7" s="1"/>
  <c r="J2" i="7"/>
  <c r="J13" i="7" s="1"/>
  <c r="I2" i="7"/>
  <c r="I13" i="7" s="1"/>
  <c r="H2" i="7"/>
  <c r="H13" i="7" s="1"/>
  <c r="G2" i="7"/>
  <c r="G13" i="7" s="1"/>
  <c r="F2" i="7"/>
  <c r="F13" i="7" s="1"/>
  <c r="E2" i="7"/>
  <c r="E13" i="7" s="1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C31" i="4"/>
  <c r="C30" i="4"/>
  <c r="C29" i="4"/>
  <c r="C27" i="4"/>
  <c r="C26" i="4"/>
  <c r="C24" i="4"/>
  <c r="C23" i="4"/>
  <c r="C22" i="4"/>
  <c r="C20" i="4"/>
  <c r="C19" i="4"/>
  <c r="C17" i="4"/>
  <c r="C16" i="4"/>
  <c r="C15" i="4"/>
  <c r="F8" i="4"/>
  <c r="E7" i="4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C12" i="4"/>
  <c r="C10" i="4"/>
  <c r="C9" i="4"/>
  <c r="C6" i="4"/>
  <c r="A4" i="4"/>
  <c r="U6" i="7" l="1"/>
  <c r="V6" i="7"/>
  <c r="W6" i="7"/>
  <c r="X6" i="7"/>
  <c r="I6" i="7"/>
  <c r="J6" i="7"/>
  <c r="K6" i="7"/>
  <c r="L6" i="7"/>
  <c r="M6" i="7"/>
  <c r="N6" i="7"/>
  <c r="O6" i="7"/>
  <c r="P6" i="7"/>
  <c r="E6" i="7"/>
  <c r="Q6" i="7"/>
  <c r="F6" i="7"/>
  <c r="R6" i="7"/>
  <c r="G8" i="4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F187" i="2"/>
  <c r="F33" i="3" s="1"/>
  <c r="G187" i="2"/>
  <c r="G33" i="3" s="1"/>
  <c r="E187" i="2"/>
  <c r="E33" i="3" s="1"/>
  <c r="H186" i="2"/>
  <c r="I184" i="2"/>
  <c r="I186" i="2" s="1"/>
  <c r="C183" i="2"/>
  <c r="C182" i="2"/>
  <c r="C181" i="2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H46" i="4"/>
  <c r="E45" i="4"/>
  <c r="C46" i="4"/>
  <c r="C45" i="4"/>
  <c r="C41" i="4"/>
  <c r="C40" i="4"/>
  <c r="C37" i="4"/>
  <c r="C36" i="4"/>
  <c r="C194" i="2"/>
  <c r="H32" i="3"/>
  <c r="C191" i="2"/>
  <c r="F190" i="2"/>
  <c r="G190" i="2" s="1"/>
  <c r="H190" i="2" s="1"/>
  <c r="I190" i="2" s="1"/>
  <c r="J190" i="2" s="1"/>
  <c r="K190" i="2" s="1"/>
  <c r="L190" i="2" s="1"/>
  <c r="M190" i="2" s="1"/>
  <c r="N190" i="2" s="1"/>
  <c r="O190" i="2" s="1"/>
  <c r="P190" i="2" s="1"/>
  <c r="Q190" i="2" s="1"/>
  <c r="R190" i="2" s="1"/>
  <c r="S190" i="2" s="1"/>
  <c r="T190" i="2" s="1"/>
  <c r="U190" i="2" s="1"/>
  <c r="V190" i="2" s="1"/>
  <c r="W190" i="2" s="1"/>
  <c r="X190" i="2" s="1"/>
  <c r="C189" i="2"/>
  <c r="C188" i="2"/>
  <c r="C187" i="2"/>
  <c r="C186" i="2"/>
  <c r="E55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E31" i="3"/>
  <c r="E177" i="2"/>
  <c r="F177" i="2" s="1"/>
  <c r="C177" i="2"/>
  <c r="C176" i="2"/>
  <c r="C62" i="3"/>
  <c r="C60" i="3"/>
  <c r="C59" i="3"/>
  <c r="C57" i="3"/>
  <c r="C56" i="3"/>
  <c r="C55" i="3"/>
  <c r="C53" i="3"/>
  <c r="C51" i="3"/>
  <c r="C50" i="3"/>
  <c r="C49" i="3"/>
  <c r="C48" i="3"/>
  <c r="C47" i="3"/>
  <c r="C45" i="3"/>
  <c r="C44" i="3"/>
  <c r="C43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F28" i="3"/>
  <c r="F29" i="3" s="1"/>
  <c r="G28" i="3"/>
  <c r="G29" i="3" s="1"/>
  <c r="H28" i="3"/>
  <c r="H29" i="3" s="1"/>
  <c r="I28" i="3"/>
  <c r="I29" i="3" s="1"/>
  <c r="J28" i="3"/>
  <c r="J29" i="3" s="1"/>
  <c r="K28" i="3"/>
  <c r="K29" i="3" s="1"/>
  <c r="L28" i="3"/>
  <c r="L29" i="3" s="1"/>
  <c r="M28" i="3"/>
  <c r="M29" i="3" s="1"/>
  <c r="N28" i="3"/>
  <c r="N29" i="3" s="1"/>
  <c r="O28" i="3"/>
  <c r="O29" i="3" s="1"/>
  <c r="P28" i="3"/>
  <c r="P29" i="3" s="1"/>
  <c r="Q28" i="3"/>
  <c r="Q29" i="3" s="1"/>
  <c r="R28" i="3"/>
  <c r="R29" i="3" s="1"/>
  <c r="S28" i="3"/>
  <c r="S29" i="3" s="1"/>
  <c r="T28" i="3"/>
  <c r="T29" i="3" s="1"/>
  <c r="U28" i="3"/>
  <c r="U29" i="3" s="1"/>
  <c r="V28" i="3"/>
  <c r="V29" i="3" s="1"/>
  <c r="W28" i="3"/>
  <c r="W29" i="3" s="1"/>
  <c r="X28" i="3"/>
  <c r="X29" i="3" s="1"/>
  <c r="E28" i="3"/>
  <c r="E29" i="3" s="1"/>
  <c r="E37" i="3"/>
  <c r="C38" i="3"/>
  <c r="C37" i="3"/>
  <c r="C36" i="3"/>
  <c r="C34" i="3"/>
  <c r="C33" i="3"/>
  <c r="C32" i="3"/>
  <c r="C31" i="3"/>
  <c r="C29" i="3"/>
  <c r="C28" i="3"/>
  <c r="C26" i="3"/>
  <c r="C25" i="3"/>
  <c r="C24" i="3"/>
  <c r="C23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G177" i="2" l="1"/>
  <c r="F55" i="3"/>
  <c r="I46" i="4"/>
  <c r="I32" i="3"/>
  <c r="J184" i="2"/>
  <c r="B45" i="4"/>
  <c r="K8" i="5"/>
  <c r="H177" i="2" l="1"/>
  <c r="G55" i="3"/>
  <c r="J186" i="2"/>
  <c r="K184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C171" i="2"/>
  <c r="C169" i="2"/>
  <c r="C168" i="2"/>
  <c r="E170" i="2"/>
  <c r="E165" i="2"/>
  <c r="C166" i="2"/>
  <c r="C164" i="2"/>
  <c r="C18" i="3"/>
  <c r="C17" i="3"/>
  <c r="C16" i="3"/>
  <c r="C15" i="3"/>
  <c r="C14" i="3"/>
  <c r="C13" i="3"/>
  <c r="C11" i="3"/>
  <c r="C10" i="3"/>
  <c r="C9" i="3"/>
  <c r="C8" i="3"/>
  <c r="C7" i="3"/>
  <c r="C6" i="3"/>
  <c r="C159" i="2"/>
  <c r="C158" i="2"/>
  <c r="C156" i="2"/>
  <c r="C154" i="2"/>
  <c r="C153" i="2"/>
  <c r="C152" i="2"/>
  <c r="D10" i="5"/>
  <c r="D8" i="5"/>
  <c r="D15" i="5" s="1"/>
  <c r="C8" i="5"/>
  <c r="D7" i="5"/>
  <c r="D6" i="5"/>
  <c r="D5" i="5"/>
  <c r="D4" i="5"/>
  <c r="D3" i="5"/>
  <c r="D2" i="5"/>
  <c r="C140" i="2"/>
  <c r="K186" i="2" l="1"/>
  <c r="L184" i="2"/>
  <c r="J46" i="4"/>
  <c r="J32" i="3"/>
  <c r="I177" i="2"/>
  <c r="H55" i="3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E140" i="2"/>
  <c r="C146" i="2"/>
  <c r="C145" i="2"/>
  <c r="C144" i="2"/>
  <c r="C143" i="2"/>
  <c r="C142" i="2"/>
  <c r="B138" i="2"/>
  <c r="B137" i="2"/>
  <c r="B136" i="2"/>
  <c r="C138" i="2"/>
  <c r="C137" i="2"/>
  <c r="C136" i="2"/>
  <c r="C130" i="2"/>
  <c r="C129" i="2"/>
  <c r="C128" i="2"/>
  <c r="C127" i="2"/>
  <c r="C126" i="2"/>
  <c r="C123" i="2"/>
  <c r="G122" i="2"/>
  <c r="G123" i="2" s="1"/>
  <c r="F122" i="2"/>
  <c r="F123" i="2" s="1"/>
  <c r="E122" i="2"/>
  <c r="E123" i="2" s="1"/>
  <c r="C121" i="2"/>
  <c r="G120" i="2"/>
  <c r="G121" i="2" s="1"/>
  <c r="F120" i="2"/>
  <c r="F121" i="2" s="1"/>
  <c r="E120" i="2"/>
  <c r="E121" i="2" s="1"/>
  <c r="C119" i="2"/>
  <c r="G118" i="2"/>
  <c r="G119" i="2" s="1"/>
  <c r="F118" i="2"/>
  <c r="F119" i="2" s="1"/>
  <c r="E118" i="2"/>
  <c r="E119" i="2" s="1"/>
  <c r="G113" i="2"/>
  <c r="G114" i="2" s="1"/>
  <c r="F113" i="2"/>
  <c r="F114" i="2" s="1"/>
  <c r="E113" i="2"/>
  <c r="E114" i="2" s="1"/>
  <c r="G111" i="2"/>
  <c r="G112" i="2" s="1"/>
  <c r="G127" i="2" s="1"/>
  <c r="F111" i="2"/>
  <c r="E111" i="2"/>
  <c r="E112" i="2" s="1"/>
  <c r="G106" i="2"/>
  <c r="G107" i="2" s="1"/>
  <c r="F106" i="2"/>
  <c r="E106" i="2"/>
  <c r="E107" i="2" s="1"/>
  <c r="G104" i="2"/>
  <c r="G105" i="2" s="1"/>
  <c r="F104" i="2"/>
  <c r="F105" i="2" s="1"/>
  <c r="E104" i="2"/>
  <c r="E105" i="2" s="1"/>
  <c r="G102" i="2"/>
  <c r="G103" i="2" s="1"/>
  <c r="F102" i="2"/>
  <c r="F103" i="2" s="1"/>
  <c r="E102" i="2"/>
  <c r="E103" i="2" s="1"/>
  <c r="F100" i="2"/>
  <c r="G100" i="2"/>
  <c r="G101" i="2" s="1"/>
  <c r="E100" i="2"/>
  <c r="E101" i="2" s="1"/>
  <c r="C114" i="2"/>
  <c r="F112" i="2"/>
  <c r="C112" i="2"/>
  <c r="F107" i="2"/>
  <c r="C107" i="2"/>
  <c r="C105" i="2"/>
  <c r="C103" i="2"/>
  <c r="C101" i="2"/>
  <c r="C93" i="2"/>
  <c r="C92" i="2"/>
  <c r="C91" i="2"/>
  <c r="C90" i="2"/>
  <c r="C87" i="2"/>
  <c r="G86" i="2"/>
  <c r="C86" i="2"/>
  <c r="C85" i="2"/>
  <c r="G84" i="2"/>
  <c r="F84" i="2"/>
  <c r="E84" i="2"/>
  <c r="F71" i="2"/>
  <c r="G71" i="2"/>
  <c r="G80" i="2" s="1"/>
  <c r="E71" i="2"/>
  <c r="E86" i="2" s="1"/>
  <c r="F79" i="2"/>
  <c r="G79" i="2"/>
  <c r="E79" i="2"/>
  <c r="C83" i="2"/>
  <c r="C80" i="2"/>
  <c r="C78" i="2"/>
  <c r="J177" i="2" l="1"/>
  <c r="I55" i="3"/>
  <c r="K46" i="4"/>
  <c r="K32" i="3"/>
  <c r="M184" i="2"/>
  <c r="L186" i="2"/>
  <c r="G128" i="2"/>
  <c r="F127" i="2"/>
  <c r="E128" i="2"/>
  <c r="G126" i="2"/>
  <c r="E127" i="2"/>
  <c r="F128" i="2"/>
  <c r="E126" i="2"/>
  <c r="E85" i="2"/>
  <c r="E87" i="2"/>
  <c r="E80" i="2"/>
  <c r="G85" i="2"/>
  <c r="F101" i="2"/>
  <c r="F126" i="2" s="1"/>
  <c r="F80" i="2"/>
  <c r="F85" i="2"/>
  <c r="F87" i="2"/>
  <c r="F86" i="2"/>
  <c r="G87" i="2"/>
  <c r="F72" i="2"/>
  <c r="G72" i="2"/>
  <c r="F73" i="2"/>
  <c r="G73" i="2"/>
  <c r="F74" i="2"/>
  <c r="G74" i="2"/>
  <c r="F75" i="2"/>
  <c r="G75" i="2"/>
  <c r="F76" i="2"/>
  <c r="G76" i="2"/>
  <c r="E76" i="2"/>
  <c r="E75" i="2"/>
  <c r="E74" i="2"/>
  <c r="E73" i="2"/>
  <c r="E72" i="2"/>
  <c r="C76" i="2"/>
  <c r="C75" i="2"/>
  <c r="C74" i="2"/>
  <c r="C73" i="2"/>
  <c r="C72" i="2"/>
  <c r="C70" i="2"/>
  <c r="C65" i="2"/>
  <c r="C62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C61" i="2"/>
  <c r="C58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C57" i="2"/>
  <c r="C54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C53" i="2"/>
  <c r="C50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C49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C46" i="2"/>
  <c r="E45" i="2"/>
  <c r="C45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E38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F34" i="2"/>
  <c r="G34" i="2"/>
  <c r="E34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F30" i="2"/>
  <c r="G30" i="2"/>
  <c r="E30" i="2"/>
  <c r="C39" i="2"/>
  <c r="C38" i="2"/>
  <c r="C35" i="2"/>
  <c r="C34" i="2"/>
  <c r="C31" i="2"/>
  <c r="C30" i="2"/>
  <c r="C20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E17" i="2"/>
  <c r="C18" i="2"/>
  <c r="C17" i="2"/>
  <c r="G16" i="2"/>
  <c r="G42" i="2" s="1"/>
  <c r="G52" i="2" s="1"/>
  <c r="F16" i="2"/>
  <c r="F42" i="2" s="1"/>
  <c r="F52" i="2" s="1"/>
  <c r="E16" i="2"/>
  <c r="E42" i="2" s="1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E11" i="2"/>
  <c r="G10" i="2"/>
  <c r="F10" i="2"/>
  <c r="E10" i="2"/>
  <c r="H10" i="2"/>
  <c r="C12" i="2"/>
  <c r="C11" i="2"/>
  <c r="H6" i="2"/>
  <c r="N184" i="2" l="1"/>
  <c r="M186" i="2"/>
  <c r="K177" i="2"/>
  <c r="J55" i="3"/>
  <c r="L46" i="4"/>
  <c r="L32" i="3"/>
  <c r="G129" i="2"/>
  <c r="G130" i="2" s="1"/>
  <c r="G9" i="3" s="1"/>
  <c r="G83" i="2"/>
  <c r="G92" i="2" s="1"/>
  <c r="F83" i="2"/>
  <c r="E83" i="2"/>
  <c r="E92" i="2" s="1"/>
  <c r="F129" i="2"/>
  <c r="F130" i="2" s="1"/>
  <c r="F9" i="3" s="1"/>
  <c r="E129" i="2"/>
  <c r="E130" i="2" s="1"/>
  <c r="E9" i="3" s="1"/>
  <c r="H113" i="2"/>
  <c r="H114" i="2" s="1"/>
  <c r="H104" i="2"/>
  <c r="H105" i="2" s="1"/>
  <c r="H100" i="2"/>
  <c r="H101" i="2" s="1"/>
  <c r="H120" i="2"/>
  <c r="H121" i="2" s="1"/>
  <c r="H118" i="2"/>
  <c r="H119" i="2" s="1"/>
  <c r="H106" i="2"/>
  <c r="H107" i="2" s="1"/>
  <c r="H122" i="2"/>
  <c r="H123" i="2" s="1"/>
  <c r="H111" i="2"/>
  <c r="H112" i="2" s="1"/>
  <c r="H102" i="2"/>
  <c r="H103" i="2" s="1"/>
  <c r="F92" i="2"/>
  <c r="H27" i="2"/>
  <c r="H33" i="2" s="1"/>
  <c r="H35" i="2" s="1"/>
  <c r="E27" i="2"/>
  <c r="E29" i="2" s="1"/>
  <c r="E31" i="2" s="1"/>
  <c r="E81" i="2"/>
  <c r="E78" i="2" s="1"/>
  <c r="E91" i="2" s="1"/>
  <c r="F27" i="2"/>
  <c r="F33" i="2" s="1"/>
  <c r="F35" i="2" s="1"/>
  <c r="F81" i="2"/>
  <c r="F78" i="2" s="1"/>
  <c r="F91" i="2" s="1"/>
  <c r="G27" i="2"/>
  <c r="G33" i="2" s="1"/>
  <c r="G35" i="2" s="1"/>
  <c r="G81" i="2"/>
  <c r="G78" i="2" s="1"/>
  <c r="G91" i="2" s="1"/>
  <c r="H12" i="2"/>
  <c r="G12" i="2"/>
  <c r="E70" i="2"/>
  <c r="E90" i="2" s="1"/>
  <c r="H16" i="2"/>
  <c r="H42" i="2" s="1"/>
  <c r="H44" i="2" s="1"/>
  <c r="H46" i="2" s="1"/>
  <c r="H84" i="2"/>
  <c r="H79" i="2"/>
  <c r="H71" i="2"/>
  <c r="G70" i="2"/>
  <c r="G90" i="2" s="1"/>
  <c r="F70" i="2"/>
  <c r="F90" i="2" s="1"/>
  <c r="G44" i="2"/>
  <c r="G46" i="2" s="1"/>
  <c r="E56" i="2"/>
  <c r="E58" i="2" s="1"/>
  <c r="E60" i="2"/>
  <c r="E62" i="2" s="1"/>
  <c r="E48" i="2"/>
  <c r="E50" i="2" s="1"/>
  <c r="E44" i="2"/>
  <c r="E46" i="2" s="1"/>
  <c r="F56" i="2"/>
  <c r="F58" i="2" s="1"/>
  <c r="F60" i="2"/>
  <c r="F62" i="2" s="1"/>
  <c r="F48" i="2"/>
  <c r="F50" i="2" s="1"/>
  <c r="F44" i="2"/>
  <c r="F46" i="2" s="1"/>
  <c r="G56" i="2"/>
  <c r="G58" i="2" s="1"/>
  <c r="G60" i="2"/>
  <c r="G62" i="2" s="1"/>
  <c r="G48" i="2"/>
  <c r="G50" i="2" s="1"/>
  <c r="I6" i="2"/>
  <c r="E52" i="2"/>
  <c r="E54" i="2" s="1"/>
  <c r="E12" i="2"/>
  <c r="F54" i="2"/>
  <c r="F12" i="2"/>
  <c r="G54" i="2"/>
  <c r="E18" i="2"/>
  <c r="F18" i="2"/>
  <c r="G18" i="2"/>
  <c r="I16" i="2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F24" i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F23" i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Q16" i="1"/>
  <c r="R16" i="1"/>
  <c r="S16" i="1"/>
  <c r="T16" i="1"/>
  <c r="U16" i="1"/>
  <c r="V16" i="1"/>
  <c r="W16" i="1"/>
  <c r="X16" i="1" s="1"/>
  <c r="G16" i="1"/>
  <c r="H16" i="1" s="1"/>
  <c r="F16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F18" i="1"/>
  <c r="F17" i="1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V4" i="3"/>
  <c r="U4" i="3"/>
  <c r="J4" i="3"/>
  <c r="I4" i="3"/>
  <c r="H4" i="3"/>
  <c r="G4" i="3"/>
  <c r="X2" i="3"/>
  <c r="X4" i="3" s="1"/>
  <c r="W2" i="3"/>
  <c r="W4" i="3" s="1"/>
  <c r="V2" i="3"/>
  <c r="U2" i="3"/>
  <c r="T2" i="3"/>
  <c r="T4" i="3" s="1"/>
  <c r="S2" i="3"/>
  <c r="S4" i="3" s="1"/>
  <c r="R2" i="3"/>
  <c r="R4" i="3" s="1"/>
  <c r="Q2" i="3"/>
  <c r="Q4" i="3" s="1"/>
  <c r="P2" i="3"/>
  <c r="P4" i="3" s="1"/>
  <c r="O2" i="3"/>
  <c r="O4" i="3" s="1"/>
  <c r="N2" i="3"/>
  <c r="N4" i="3" s="1"/>
  <c r="M2" i="3"/>
  <c r="M4" i="3" s="1"/>
  <c r="L2" i="3"/>
  <c r="L4" i="3" s="1"/>
  <c r="K2" i="3"/>
  <c r="K4" i="3" s="1"/>
  <c r="J2" i="3"/>
  <c r="I2" i="3"/>
  <c r="H2" i="3"/>
  <c r="G2" i="3"/>
  <c r="F2" i="3"/>
  <c r="F4" i="3" s="1"/>
  <c r="E2" i="3"/>
  <c r="E4" i="3" s="1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F1" i="2"/>
  <c r="F143" i="2" s="1"/>
  <c r="G1" i="2"/>
  <c r="H1" i="2"/>
  <c r="I1" i="2"/>
  <c r="J1" i="2"/>
  <c r="J142" i="2" s="1"/>
  <c r="J44" i="3" s="1"/>
  <c r="K1" i="2"/>
  <c r="L1" i="2"/>
  <c r="M1" i="2"/>
  <c r="M142" i="2" s="1"/>
  <c r="M44" i="3" s="1"/>
  <c r="N1" i="2"/>
  <c r="N142" i="2" s="1"/>
  <c r="N44" i="3" s="1"/>
  <c r="O1" i="2"/>
  <c r="O142" i="2" s="1"/>
  <c r="O44" i="3" s="1"/>
  <c r="P1" i="2"/>
  <c r="P142" i="2" s="1"/>
  <c r="P44" i="3" s="1"/>
  <c r="Q1" i="2"/>
  <c r="Q142" i="2" s="1"/>
  <c r="Q44" i="3" s="1"/>
  <c r="R1" i="2"/>
  <c r="R142" i="2" s="1"/>
  <c r="R44" i="3" s="1"/>
  <c r="S1" i="2"/>
  <c r="S142" i="2" s="1"/>
  <c r="S44" i="3" s="1"/>
  <c r="T1" i="2"/>
  <c r="T142" i="2" s="1"/>
  <c r="T44" i="3" s="1"/>
  <c r="U1" i="2"/>
  <c r="U142" i="2" s="1"/>
  <c r="U44" i="3" s="1"/>
  <c r="V1" i="2"/>
  <c r="V142" i="2" s="1"/>
  <c r="V44" i="3" s="1"/>
  <c r="W1" i="2"/>
  <c r="W142" i="2" s="1"/>
  <c r="W44" i="3" s="1"/>
  <c r="X1" i="2"/>
  <c r="X142" i="2" s="1"/>
  <c r="X44" i="3" s="1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E2" i="2"/>
  <c r="E1" i="2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E9" i="1"/>
  <c r="E2" i="1" s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F7" i="1"/>
  <c r="F8" i="1" s="1"/>
  <c r="F9" i="1" s="1"/>
  <c r="F2" i="1" s="1"/>
  <c r="E8" i="1"/>
  <c r="E7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H29" i="2" l="1"/>
  <c r="H31" i="2" s="1"/>
  <c r="O184" i="2"/>
  <c r="N186" i="2"/>
  <c r="M46" i="4"/>
  <c r="M32" i="3"/>
  <c r="L177" i="2"/>
  <c r="K55" i="3"/>
  <c r="O34" i="4"/>
  <c r="O4" i="4"/>
  <c r="P34" i="4"/>
  <c r="P4" i="4"/>
  <c r="E34" i="4"/>
  <c r="E4" i="4"/>
  <c r="Q34" i="4"/>
  <c r="Q4" i="4"/>
  <c r="F34" i="4"/>
  <c r="F4" i="4"/>
  <c r="R34" i="4"/>
  <c r="R4" i="4"/>
  <c r="G34" i="4"/>
  <c r="G4" i="4"/>
  <c r="S34" i="4"/>
  <c r="S4" i="4"/>
  <c r="H34" i="4"/>
  <c r="H4" i="4"/>
  <c r="T34" i="4"/>
  <c r="T4" i="4"/>
  <c r="I34" i="4"/>
  <c r="I4" i="4"/>
  <c r="U34" i="4"/>
  <c r="U4" i="4"/>
  <c r="J34" i="4"/>
  <c r="J4" i="4"/>
  <c r="V34" i="4"/>
  <c r="V4" i="4"/>
  <c r="K34" i="4"/>
  <c r="K4" i="4"/>
  <c r="W34" i="4"/>
  <c r="W4" i="4"/>
  <c r="L34" i="4"/>
  <c r="L4" i="4"/>
  <c r="X34" i="4"/>
  <c r="X4" i="4"/>
  <c r="M34" i="4"/>
  <c r="M4" i="4"/>
  <c r="N34" i="4"/>
  <c r="N4" i="4"/>
  <c r="K174" i="2"/>
  <c r="K162" i="2"/>
  <c r="K149" i="2"/>
  <c r="W174" i="2"/>
  <c r="W162" i="2"/>
  <c r="W149" i="2"/>
  <c r="U174" i="2"/>
  <c r="U162" i="2"/>
  <c r="U149" i="2"/>
  <c r="T174" i="2"/>
  <c r="T162" i="2"/>
  <c r="T149" i="2"/>
  <c r="F174" i="2"/>
  <c r="F149" i="2"/>
  <c r="F162" i="2"/>
  <c r="E174" i="2"/>
  <c r="E162" i="2"/>
  <c r="E149" i="2"/>
  <c r="M174" i="2"/>
  <c r="M162" i="2"/>
  <c r="M149" i="2"/>
  <c r="H142" i="2"/>
  <c r="H44" i="3" s="1"/>
  <c r="X174" i="2"/>
  <c r="X162" i="2"/>
  <c r="X149" i="2"/>
  <c r="L174" i="2"/>
  <c r="L162" i="2"/>
  <c r="L149" i="2"/>
  <c r="J174" i="2"/>
  <c r="J162" i="2"/>
  <c r="J149" i="2"/>
  <c r="I174" i="2"/>
  <c r="I149" i="2"/>
  <c r="I162" i="2"/>
  <c r="H174" i="2"/>
  <c r="H162" i="2"/>
  <c r="H149" i="2"/>
  <c r="G174" i="2"/>
  <c r="G162" i="2"/>
  <c r="G149" i="2"/>
  <c r="R174" i="2"/>
  <c r="R162" i="2"/>
  <c r="R149" i="2"/>
  <c r="Q174" i="2"/>
  <c r="Q162" i="2"/>
  <c r="Q149" i="2"/>
  <c r="L142" i="2"/>
  <c r="L44" i="3" s="1"/>
  <c r="K142" i="2"/>
  <c r="K44" i="3" s="1"/>
  <c r="V174" i="2"/>
  <c r="V162" i="2"/>
  <c r="V149" i="2"/>
  <c r="S174" i="2"/>
  <c r="S162" i="2"/>
  <c r="S149" i="2"/>
  <c r="P174" i="2"/>
  <c r="P162" i="2"/>
  <c r="P149" i="2"/>
  <c r="O174" i="2"/>
  <c r="O149" i="2"/>
  <c r="O162" i="2"/>
  <c r="N174" i="2"/>
  <c r="N149" i="2"/>
  <c r="N162" i="2"/>
  <c r="I142" i="2"/>
  <c r="I44" i="3" s="1"/>
  <c r="F37" i="2"/>
  <c r="F39" i="2" s="1"/>
  <c r="H127" i="2"/>
  <c r="E37" i="2"/>
  <c r="F29" i="2"/>
  <c r="F31" i="2" s="1"/>
  <c r="H128" i="2"/>
  <c r="P133" i="2"/>
  <c r="P96" i="2"/>
  <c r="O96" i="2"/>
  <c r="O133" i="2"/>
  <c r="E142" i="2"/>
  <c r="E143" i="2"/>
  <c r="N96" i="2"/>
  <c r="N133" i="2"/>
  <c r="E133" i="2"/>
  <c r="E96" i="2"/>
  <c r="M96" i="2"/>
  <c r="M133" i="2"/>
  <c r="X96" i="2"/>
  <c r="X133" i="2"/>
  <c r="L96" i="2"/>
  <c r="L133" i="2"/>
  <c r="G142" i="2"/>
  <c r="G44" i="3" s="1"/>
  <c r="I113" i="2"/>
  <c r="I114" i="2" s="1"/>
  <c r="I104" i="2"/>
  <c r="I105" i="2" s="1"/>
  <c r="I120" i="2"/>
  <c r="I121" i="2" s="1"/>
  <c r="I118" i="2"/>
  <c r="I119" i="2" s="1"/>
  <c r="I106" i="2"/>
  <c r="I107" i="2" s="1"/>
  <c r="I100" i="2"/>
  <c r="I101" i="2" s="1"/>
  <c r="I122" i="2"/>
  <c r="I123" i="2" s="1"/>
  <c r="I111" i="2"/>
  <c r="I112" i="2" s="1"/>
  <c r="I102" i="2"/>
  <c r="I103" i="2" s="1"/>
  <c r="E33" i="2"/>
  <c r="E35" i="2" s="1"/>
  <c r="W96" i="2"/>
  <c r="W133" i="2"/>
  <c r="K96" i="2"/>
  <c r="K133" i="2"/>
  <c r="E93" i="2"/>
  <c r="E8" i="3" s="1"/>
  <c r="J96" i="2"/>
  <c r="J133" i="2"/>
  <c r="U133" i="2"/>
  <c r="U96" i="2"/>
  <c r="H133" i="2"/>
  <c r="H96" i="2"/>
  <c r="V96" i="2"/>
  <c r="V133" i="2"/>
  <c r="I133" i="2"/>
  <c r="I96" i="2"/>
  <c r="T133" i="2"/>
  <c r="T96" i="2"/>
  <c r="S133" i="2"/>
  <c r="S96" i="2"/>
  <c r="G133" i="2"/>
  <c r="G96" i="2"/>
  <c r="H126" i="2"/>
  <c r="R133" i="2"/>
  <c r="R96" i="2"/>
  <c r="F133" i="2"/>
  <c r="F96" i="2"/>
  <c r="H37" i="2"/>
  <c r="H39" i="2" s="1"/>
  <c r="F93" i="2"/>
  <c r="F8" i="3" s="1"/>
  <c r="Q133" i="2"/>
  <c r="Q96" i="2"/>
  <c r="G93" i="2"/>
  <c r="G8" i="3" s="1"/>
  <c r="H18" i="2"/>
  <c r="H20" i="2" s="1"/>
  <c r="H52" i="2"/>
  <c r="H54" i="2" s="1"/>
  <c r="F20" i="2"/>
  <c r="H60" i="2"/>
  <c r="H62" i="2" s="1"/>
  <c r="G20" i="2"/>
  <c r="H48" i="2"/>
  <c r="H50" i="2" s="1"/>
  <c r="G37" i="2"/>
  <c r="G39" i="2" s="1"/>
  <c r="E20" i="2"/>
  <c r="H56" i="2"/>
  <c r="H58" i="2" s="1"/>
  <c r="G29" i="2"/>
  <c r="G31" i="2" s="1"/>
  <c r="I84" i="2"/>
  <c r="I79" i="2"/>
  <c r="I71" i="2"/>
  <c r="H80" i="2"/>
  <c r="H87" i="2"/>
  <c r="H85" i="2"/>
  <c r="H86" i="2"/>
  <c r="H75" i="2"/>
  <c r="H76" i="2"/>
  <c r="H72" i="2"/>
  <c r="H74" i="2"/>
  <c r="H73" i="2"/>
  <c r="H81" i="2"/>
  <c r="I18" i="2"/>
  <c r="I42" i="2"/>
  <c r="I10" i="2"/>
  <c r="I81" i="2" s="1"/>
  <c r="J6" i="2"/>
  <c r="N68" i="2"/>
  <c r="N24" i="2"/>
  <c r="T24" i="2"/>
  <c r="T68" i="2"/>
  <c r="O68" i="2"/>
  <c r="O24" i="2"/>
  <c r="E4" i="2"/>
  <c r="E68" i="2"/>
  <c r="E24" i="2"/>
  <c r="M68" i="2"/>
  <c r="M24" i="2"/>
  <c r="X68" i="2"/>
  <c r="X24" i="2"/>
  <c r="L24" i="2"/>
  <c r="L68" i="2"/>
  <c r="W24" i="2"/>
  <c r="W68" i="2"/>
  <c r="K68" i="2"/>
  <c r="K24" i="2"/>
  <c r="V68" i="2"/>
  <c r="V24" i="2"/>
  <c r="J24" i="2"/>
  <c r="J68" i="2"/>
  <c r="U68" i="2"/>
  <c r="U24" i="2"/>
  <c r="I4" i="2"/>
  <c r="I68" i="2"/>
  <c r="I24" i="2"/>
  <c r="H68" i="2"/>
  <c r="H24" i="2"/>
  <c r="S24" i="2"/>
  <c r="S68" i="2"/>
  <c r="G68" i="2"/>
  <c r="G24" i="2"/>
  <c r="R24" i="2"/>
  <c r="R68" i="2"/>
  <c r="F24" i="2"/>
  <c r="F68" i="2"/>
  <c r="Q68" i="2"/>
  <c r="Q24" i="2"/>
  <c r="P68" i="2"/>
  <c r="P24" i="2"/>
  <c r="J16" i="2"/>
  <c r="I16" i="1"/>
  <c r="H17" i="1"/>
  <c r="G17" i="1"/>
  <c r="G18" i="1" s="1"/>
  <c r="H18" i="1" s="1"/>
  <c r="T4" i="2"/>
  <c r="V4" i="2"/>
  <c r="K4" i="2"/>
  <c r="X4" i="2"/>
  <c r="O4" i="2"/>
  <c r="H4" i="2"/>
  <c r="U4" i="2"/>
  <c r="J4" i="2"/>
  <c r="W4" i="2"/>
  <c r="L4" i="2"/>
  <c r="M4" i="2"/>
  <c r="N4" i="2"/>
  <c r="P4" i="2"/>
  <c r="R4" i="2"/>
  <c r="Q4" i="2"/>
  <c r="F4" i="2"/>
  <c r="G4" i="2"/>
  <c r="S4" i="2"/>
  <c r="G7" i="1"/>
  <c r="G8" i="1" s="1"/>
  <c r="N46" i="4" l="1"/>
  <c r="N32" i="3"/>
  <c r="P184" i="2"/>
  <c r="O186" i="2"/>
  <c r="M177" i="2"/>
  <c r="L55" i="3"/>
  <c r="F65" i="2"/>
  <c r="F152" i="2" s="1"/>
  <c r="F47" i="3" s="1"/>
  <c r="E6" i="3"/>
  <c r="E154" i="2"/>
  <c r="E49" i="3" s="1"/>
  <c r="E144" i="2"/>
  <c r="F142" i="2"/>
  <c r="E44" i="3"/>
  <c r="G154" i="2"/>
  <c r="G49" i="3" s="1"/>
  <c r="G6" i="3"/>
  <c r="H83" i="2"/>
  <c r="H92" i="2" s="1"/>
  <c r="H154" i="2"/>
  <c r="H49" i="3" s="1"/>
  <c r="H6" i="3"/>
  <c r="F154" i="2"/>
  <c r="F49" i="3" s="1"/>
  <c r="F6" i="3"/>
  <c r="I127" i="2"/>
  <c r="I126" i="2"/>
  <c r="G65" i="2"/>
  <c r="G153" i="2" s="1"/>
  <c r="G48" i="3" s="1"/>
  <c r="H65" i="2"/>
  <c r="H129" i="2"/>
  <c r="H130" i="2" s="1"/>
  <c r="H9" i="3" s="1"/>
  <c r="E39" i="2"/>
  <c r="E65" i="2" s="1"/>
  <c r="E153" i="2" s="1"/>
  <c r="I128" i="2"/>
  <c r="J113" i="2"/>
  <c r="J114" i="2" s="1"/>
  <c r="J104" i="2"/>
  <c r="J105" i="2" s="1"/>
  <c r="J120" i="2"/>
  <c r="J121" i="2" s="1"/>
  <c r="J118" i="2"/>
  <c r="J119" i="2" s="1"/>
  <c r="J106" i="2"/>
  <c r="J107" i="2" s="1"/>
  <c r="J100" i="2"/>
  <c r="J101" i="2" s="1"/>
  <c r="J122" i="2"/>
  <c r="J123" i="2" s="1"/>
  <c r="J111" i="2"/>
  <c r="J112" i="2" s="1"/>
  <c r="J102" i="2"/>
  <c r="J103" i="2" s="1"/>
  <c r="J84" i="2"/>
  <c r="J71" i="2"/>
  <c r="J79" i="2"/>
  <c r="H70" i="2"/>
  <c r="H90" i="2" s="1"/>
  <c r="H78" i="2"/>
  <c r="H91" i="2" s="1"/>
  <c r="I86" i="2"/>
  <c r="I80" i="2"/>
  <c r="I78" i="2" s="1"/>
  <c r="I91" i="2" s="1"/>
  <c r="I85" i="2"/>
  <c r="I87" i="2"/>
  <c r="I75" i="2"/>
  <c r="I74" i="2"/>
  <c r="I76" i="2"/>
  <c r="I72" i="2"/>
  <c r="I73" i="2"/>
  <c r="K6" i="2"/>
  <c r="I27" i="2"/>
  <c r="I12" i="2"/>
  <c r="I20" i="2" s="1"/>
  <c r="J10" i="2"/>
  <c r="J81" i="2" s="1"/>
  <c r="I60" i="2"/>
  <c r="I62" i="2" s="1"/>
  <c r="I48" i="2"/>
  <c r="I50" i="2" s="1"/>
  <c r="I52" i="2"/>
  <c r="I54" i="2" s="1"/>
  <c r="I44" i="2"/>
  <c r="I46" i="2" s="1"/>
  <c r="I56" i="2"/>
  <c r="I58" i="2" s="1"/>
  <c r="J18" i="2"/>
  <c r="J42" i="2"/>
  <c r="K16" i="2"/>
  <c r="J16" i="1"/>
  <c r="I17" i="1"/>
  <c r="I18" i="1" s="1"/>
  <c r="H7" i="1"/>
  <c r="H8" i="1" s="1"/>
  <c r="G9" i="1"/>
  <c r="G2" i="1" s="1"/>
  <c r="N177" i="2" l="1"/>
  <c r="M55" i="3"/>
  <c r="O46" i="4"/>
  <c r="O32" i="3"/>
  <c r="Q184" i="2"/>
  <c r="P186" i="2"/>
  <c r="F156" i="2"/>
  <c r="F60" i="3" s="1"/>
  <c r="F153" i="2"/>
  <c r="F48" i="3" s="1"/>
  <c r="F7" i="3"/>
  <c r="E48" i="3"/>
  <c r="H152" i="2"/>
  <c r="H47" i="3" s="1"/>
  <c r="H7" i="3"/>
  <c r="I154" i="2"/>
  <c r="I49" i="3" s="1"/>
  <c r="I6" i="3"/>
  <c r="G152" i="2"/>
  <c r="G47" i="3" s="1"/>
  <c r="G7" i="3"/>
  <c r="G156" i="2"/>
  <c r="G60" i="3" s="1"/>
  <c r="E24" i="3"/>
  <c r="E13" i="3"/>
  <c r="E7" i="3"/>
  <c r="E152" i="2"/>
  <c r="E47" i="3" s="1"/>
  <c r="F44" i="3"/>
  <c r="G143" i="2"/>
  <c r="I83" i="2"/>
  <c r="I92" i="2" s="1"/>
  <c r="E145" i="2"/>
  <c r="E156" i="2"/>
  <c r="E60" i="3" s="1"/>
  <c r="I129" i="2"/>
  <c r="I130" i="2" s="1"/>
  <c r="I9" i="3" s="1"/>
  <c r="J127" i="2"/>
  <c r="H93" i="2"/>
  <c r="H8" i="3" s="1"/>
  <c r="K113" i="2"/>
  <c r="K114" i="2" s="1"/>
  <c r="K104" i="2"/>
  <c r="K105" i="2" s="1"/>
  <c r="K120" i="2"/>
  <c r="K121" i="2" s="1"/>
  <c r="K118" i="2"/>
  <c r="K119" i="2" s="1"/>
  <c r="K106" i="2"/>
  <c r="K107" i="2" s="1"/>
  <c r="K100" i="2"/>
  <c r="K101" i="2" s="1"/>
  <c r="K122" i="2"/>
  <c r="K123" i="2" s="1"/>
  <c r="K111" i="2"/>
  <c r="K112" i="2" s="1"/>
  <c r="K102" i="2"/>
  <c r="K103" i="2" s="1"/>
  <c r="J126" i="2"/>
  <c r="J128" i="2"/>
  <c r="K84" i="2"/>
  <c r="K71" i="2"/>
  <c r="K79" i="2"/>
  <c r="J80" i="2"/>
  <c r="J78" i="2" s="1"/>
  <c r="J91" i="2" s="1"/>
  <c r="J85" i="2"/>
  <c r="J86" i="2"/>
  <c r="J87" i="2"/>
  <c r="J73" i="2"/>
  <c r="J76" i="2"/>
  <c r="J75" i="2"/>
  <c r="J74" i="2"/>
  <c r="J72" i="2"/>
  <c r="I70" i="2"/>
  <c r="I90" i="2" s="1"/>
  <c r="J27" i="2"/>
  <c r="J12" i="2"/>
  <c r="J20" i="2" s="1"/>
  <c r="K10" i="2"/>
  <c r="K81" i="2" s="1"/>
  <c r="K18" i="2"/>
  <c r="K42" i="2"/>
  <c r="I37" i="2"/>
  <c r="I39" i="2" s="1"/>
  <c r="I29" i="2"/>
  <c r="I31" i="2" s="1"/>
  <c r="I33" i="2"/>
  <c r="I35" i="2" s="1"/>
  <c r="J60" i="2"/>
  <c r="J62" i="2" s="1"/>
  <c r="J48" i="2"/>
  <c r="J50" i="2" s="1"/>
  <c r="J52" i="2"/>
  <c r="J54" i="2" s="1"/>
  <c r="J56" i="2"/>
  <c r="J58" i="2" s="1"/>
  <c r="J44" i="2"/>
  <c r="J46" i="2" s="1"/>
  <c r="L6" i="2"/>
  <c r="L16" i="2"/>
  <c r="J18" i="1"/>
  <c r="K16" i="1"/>
  <c r="J17" i="1"/>
  <c r="I7" i="1"/>
  <c r="I8" i="1" s="1"/>
  <c r="H9" i="1"/>
  <c r="H2" i="1" s="1"/>
  <c r="P46" i="4" l="1"/>
  <c r="P32" i="3"/>
  <c r="R184" i="2"/>
  <c r="Q186" i="2"/>
  <c r="O177" i="2"/>
  <c r="N55" i="3"/>
  <c r="F158" i="2"/>
  <c r="G158" i="2"/>
  <c r="J83" i="2"/>
  <c r="J92" i="2" s="1"/>
  <c r="J154" i="2"/>
  <c r="J49" i="3" s="1"/>
  <c r="J6" i="3"/>
  <c r="E146" i="2"/>
  <c r="F144" i="2"/>
  <c r="H143" i="2"/>
  <c r="E158" i="2"/>
  <c r="E159" i="2" s="1"/>
  <c r="E25" i="3" s="1"/>
  <c r="H153" i="2"/>
  <c r="H48" i="3" s="1"/>
  <c r="H156" i="2"/>
  <c r="K127" i="2"/>
  <c r="K128" i="2"/>
  <c r="J129" i="2"/>
  <c r="J130" i="2" s="1"/>
  <c r="J9" i="3" s="1"/>
  <c r="L120" i="2"/>
  <c r="L121" i="2" s="1"/>
  <c r="L118" i="2"/>
  <c r="L119" i="2" s="1"/>
  <c r="L128" i="2" s="1"/>
  <c r="L106" i="2"/>
  <c r="L107" i="2" s="1"/>
  <c r="L122" i="2"/>
  <c r="L123" i="2" s="1"/>
  <c r="L111" i="2"/>
  <c r="L112" i="2" s="1"/>
  <c r="L102" i="2"/>
  <c r="L103" i="2" s="1"/>
  <c r="L100" i="2"/>
  <c r="L101" i="2" s="1"/>
  <c r="L113" i="2"/>
  <c r="L114" i="2" s="1"/>
  <c r="L104" i="2"/>
  <c r="L105" i="2" s="1"/>
  <c r="K126" i="2"/>
  <c r="I93" i="2"/>
  <c r="I8" i="3" s="1"/>
  <c r="J70" i="2"/>
  <c r="J90" i="2" s="1"/>
  <c r="L71" i="2"/>
  <c r="L84" i="2"/>
  <c r="L79" i="2"/>
  <c r="K80" i="2"/>
  <c r="K78" i="2" s="1"/>
  <c r="K91" i="2" s="1"/>
  <c r="K85" i="2"/>
  <c r="K86" i="2"/>
  <c r="K87" i="2"/>
  <c r="K74" i="2"/>
  <c r="K73" i="2"/>
  <c r="K75" i="2"/>
  <c r="K72" i="2"/>
  <c r="K76" i="2"/>
  <c r="I65" i="2"/>
  <c r="L18" i="2"/>
  <c r="L42" i="2"/>
  <c r="K60" i="2"/>
  <c r="K62" i="2" s="1"/>
  <c r="K48" i="2"/>
  <c r="K50" i="2" s="1"/>
  <c r="K44" i="2"/>
  <c r="K46" i="2" s="1"/>
  <c r="K52" i="2"/>
  <c r="K54" i="2" s="1"/>
  <c r="K56" i="2"/>
  <c r="K58" i="2" s="1"/>
  <c r="L10" i="2"/>
  <c r="L81" i="2" s="1"/>
  <c r="M6" i="2"/>
  <c r="K27" i="2"/>
  <c r="K12" i="2"/>
  <c r="K20" i="2" s="1"/>
  <c r="J37" i="2"/>
  <c r="J39" i="2" s="1"/>
  <c r="J29" i="2"/>
  <c r="J31" i="2" s="1"/>
  <c r="J33" i="2"/>
  <c r="J35" i="2" s="1"/>
  <c r="M16" i="2"/>
  <c r="K18" i="1"/>
  <c r="K17" i="1"/>
  <c r="L16" i="1"/>
  <c r="J7" i="1"/>
  <c r="J8" i="1" s="1"/>
  <c r="I9" i="1"/>
  <c r="I2" i="1" s="1"/>
  <c r="Q32" i="3" l="1"/>
  <c r="Q46" i="4"/>
  <c r="S184" i="2"/>
  <c r="R186" i="2"/>
  <c r="P177" i="2"/>
  <c r="O55" i="3"/>
  <c r="G159" i="2"/>
  <c r="G25" i="3" s="1"/>
  <c r="I143" i="2"/>
  <c r="K83" i="2"/>
  <c r="K92" i="2" s="1"/>
  <c r="F145" i="2"/>
  <c r="F24" i="3"/>
  <c r="F13" i="3"/>
  <c r="E43" i="3"/>
  <c r="E45" i="3" s="1"/>
  <c r="E164" i="2"/>
  <c r="E166" i="2" s="1"/>
  <c r="E10" i="3" s="1"/>
  <c r="E11" i="3" s="1"/>
  <c r="K6" i="3"/>
  <c r="K154" i="2"/>
  <c r="K49" i="3" s="1"/>
  <c r="I152" i="2"/>
  <c r="I47" i="3" s="1"/>
  <c r="I7" i="3"/>
  <c r="H158" i="2"/>
  <c r="H159" i="2" s="1"/>
  <c r="H25" i="3" s="1"/>
  <c r="H60" i="3"/>
  <c r="F159" i="2"/>
  <c r="F25" i="3" s="1"/>
  <c r="I156" i="2"/>
  <c r="I60" i="3" s="1"/>
  <c r="I153" i="2"/>
  <c r="I48" i="3" s="1"/>
  <c r="K129" i="2"/>
  <c r="K130" i="2" s="1"/>
  <c r="K9" i="3" s="1"/>
  <c r="L126" i="2"/>
  <c r="M120" i="2"/>
  <c r="M121" i="2" s="1"/>
  <c r="M118" i="2"/>
  <c r="M119" i="2" s="1"/>
  <c r="M111" i="2"/>
  <c r="M112" i="2" s="1"/>
  <c r="M122" i="2"/>
  <c r="M123" i="2" s="1"/>
  <c r="M102" i="2"/>
  <c r="M103" i="2" s="1"/>
  <c r="M113" i="2"/>
  <c r="M114" i="2" s="1"/>
  <c r="M104" i="2"/>
  <c r="M105" i="2" s="1"/>
  <c r="M100" i="2"/>
  <c r="M101" i="2" s="1"/>
  <c r="M106" i="2"/>
  <c r="M107" i="2" s="1"/>
  <c r="J93" i="2"/>
  <c r="J8" i="3" s="1"/>
  <c r="L127" i="2"/>
  <c r="L87" i="2"/>
  <c r="L85" i="2"/>
  <c r="L86" i="2"/>
  <c r="L80" i="2"/>
  <c r="L78" i="2" s="1"/>
  <c r="L91" i="2" s="1"/>
  <c r="L74" i="2"/>
  <c r="L73" i="2"/>
  <c r="L72" i="2"/>
  <c r="L75" i="2"/>
  <c r="L76" i="2"/>
  <c r="M71" i="2"/>
  <c r="M79" i="2"/>
  <c r="M84" i="2"/>
  <c r="K70" i="2"/>
  <c r="K90" i="2" s="1"/>
  <c r="M18" i="2"/>
  <c r="M42" i="2"/>
  <c r="J65" i="2"/>
  <c r="L44" i="2"/>
  <c r="L46" i="2" s="1"/>
  <c r="L52" i="2"/>
  <c r="L54" i="2" s="1"/>
  <c r="L60" i="2"/>
  <c r="L62" i="2" s="1"/>
  <c r="L48" i="2"/>
  <c r="L50" i="2" s="1"/>
  <c r="L56" i="2"/>
  <c r="L58" i="2" s="1"/>
  <c r="K37" i="2"/>
  <c r="K39" i="2" s="1"/>
  <c r="K29" i="2"/>
  <c r="K31" i="2" s="1"/>
  <c r="K33" i="2"/>
  <c r="K35" i="2" s="1"/>
  <c r="N6" i="2"/>
  <c r="M10" i="2"/>
  <c r="M81" i="2" s="1"/>
  <c r="L27" i="2"/>
  <c r="L12" i="2"/>
  <c r="L20" i="2" s="1"/>
  <c r="N16" i="2"/>
  <c r="M16" i="1"/>
  <c r="L17" i="1"/>
  <c r="L18" i="1"/>
  <c r="K7" i="1"/>
  <c r="K8" i="1" s="1"/>
  <c r="J9" i="1"/>
  <c r="J2" i="1" s="1"/>
  <c r="Q177" i="2" l="1"/>
  <c r="P55" i="3"/>
  <c r="R32" i="3"/>
  <c r="R46" i="4"/>
  <c r="T184" i="2"/>
  <c r="S186" i="2"/>
  <c r="F146" i="2"/>
  <c r="G144" i="2"/>
  <c r="E36" i="4"/>
  <c r="E14" i="3"/>
  <c r="L83" i="2"/>
  <c r="J143" i="2"/>
  <c r="J7" i="3"/>
  <c r="J152" i="2"/>
  <c r="J47" i="3" s="1"/>
  <c r="L154" i="2"/>
  <c r="L49" i="3" s="1"/>
  <c r="L6" i="3"/>
  <c r="J156" i="2"/>
  <c r="J60" i="3" s="1"/>
  <c r="J153" i="2"/>
  <c r="J48" i="3" s="1"/>
  <c r="I158" i="2"/>
  <c r="I159" i="2" s="1"/>
  <c r="I25" i="3" s="1"/>
  <c r="L129" i="2"/>
  <c r="L130" i="2" s="1"/>
  <c r="L9" i="3" s="1"/>
  <c r="M126" i="2"/>
  <c r="N120" i="2"/>
  <c r="N121" i="2" s="1"/>
  <c r="N118" i="2"/>
  <c r="N119" i="2" s="1"/>
  <c r="N106" i="2"/>
  <c r="N107" i="2" s="1"/>
  <c r="N122" i="2"/>
  <c r="N123" i="2" s="1"/>
  <c r="N111" i="2"/>
  <c r="N112" i="2" s="1"/>
  <c r="N102" i="2"/>
  <c r="N103" i="2" s="1"/>
  <c r="N113" i="2"/>
  <c r="N114" i="2" s="1"/>
  <c r="N104" i="2"/>
  <c r="N105" i="2" s="1"/>
  <c r="N100" i="2"/>
  <c r="N101" i="2" s="1"/>
  <c r="K93" i="2"/>
  <c r="K8" i="3" s="1"/>
  <c r="M127" i="2"/>
  <c r="M128" i="2"/>
  <c r="N71" i="2"/>
  <c r="N79" i="2"/>
  <c r="N84" i="2"/>
  <c r="L92" i="2"/>
  <c r="M85" i="2"/>
  <c r="M86" i="2"/>
  <c r="M87" i="2"/>
  <c r="M80" i="2"/>
  <c r="M78" i="2" s="1"/>
  <c r="M91" i="2" s="1"/>
  <c r="M76" i="2"/>
  <c r="M72" i="2"/>
  <c r="M73" i="2"/>
  <c r="M75" i="2"/>
  <c r="M74" i="2"/>
  <c r="L70" i="2"/>
  <c r="L90" i="2" s="1"/>
  <c r="N18" i="2"/>
  <c r="N42" i="2"/>
  <c r="L37" i="2"/>
  <c r="L39" i="2" s="1"/>
  <c r="L29" i="2"/>
  <c r="L31" i="2" s="1"/>
  <c r="L33" i="2"/>
  <c r="L35" i="2" s="1"/>
  <c r="M27" i="2"/>
  <c r="M12" i="2"/>
  <c r="M20" i="2" s="1"/>
  <c r="N10" i="2"/>
  <c r="N81" i="2" s="1"/>
  <c r="M52" i="2"/>
  <c r="M54" i="2" s="1"/>
  <c r="M44" i="2"/>
  <c r="M46" i="2" s="1"/>
  <c r="M60" i="2"/>
  <c r="M62" i="2" s="1"/>
  <c r="M48" i="2"/>
  <c r="M50" i="2" s="1"/>
  <c r="M56" i="2"/>
  <c r="M58" i="2" s="1"/>
  <c r="O6" i="2"/>
  <c r="K65" i="2"/>
  <c r="O16" i="2"/>
  <c r="M17" i="1"/>
  <c r="M18" i="1" s="1"/>
  <c r="N16" i="1"/>
  <c r="L7" i="1"/>
  <c r="L8" i="1" s="1"/>
  <c r="K9" i="1"/>
  <c r="K2" i="1" s="1"/>
  <c r="S46" i="4" l="1"/>
  <c r="S32" i="3"/>
  <c r="U184" i="2"/>
  <c r="T186" i="2"/>
  <c r="R177" i="2"/>
  <c r="Q55" i="3"/>
  <c r="N127" i="2"/>
  <c r="M83" i="2"/>
  <c r="K143" i="2"/>
  <c r="M154" i="2"/>
  <c r="M49" i="3" s="1"/>
  <c r="M6" i="3"/>
  <c r="G24" i="3"/>
  <c r="G13" i="3"/>
  <c r="F43" i="3"/>
  <c r="F45" i="3" s="1"/>
  <c r="F164" i="2"/>
  <c r="F166" i="2" s="1"/>
  <c r="F10" i="3" s="1"/>
  <c r="F11" i="3" s="1"/>
  <c r="K7" i="3"/>
  <c r="K152" i="2"/>
  <c r="K47" i="3" s="1"/>
  <c r="G145" i="2"/>
  <c r="K156" i="2"/>
  <c r="K60" i="3" s="1"/>
  <c r="K153" i="2"/>
  <c r="K48" i="3" s="1"/>
  <c r="J158" i="2"/>
  <c r="J159" i="2" s="1"/>
  <c r="J25" i="3" s="1"/>
  <c r="N128" i="2"/>
  <c r="M129" i="2"/>
  <c r="M130" i="2" s="1"/>
  <c r="M9" i="3" s="1"/>
  <c r="N126" i="2"/>
  <c r="O120" i="2"/>
  <c r="O121" i="2" s="1"/>
  <c r="O118" i="2"/>
  <c r="O119" i="2" s="1"/>
  <c r="O106" i="2"/>
  <c r="O107" i="2" s="1"/>
  <c r="O100" i="2"/>
  <c r="O101" i="2" s="1"/>
  <c r="O122" i="2"/>
  <c r="O123" i="2" s="1"/>
  <c r="O111" i="2"/>
  <c r="O112" i="2" s="1"/>
  <c r="O102" i="2"/>
  <c r="O103" i="2" s="1"/>
  <c r="O104" i="2"/>
  <c r="O105" i="2" s="1"/>
  <c r="O113" i="2"/>
  <c r="O114" i="2" s="1"/>
  <c r="L93" i="2"/>
  <c r="L8" i="3" s="1"/>
  <c r="O84" i="2"/>
  <c r="O79" i="2"/>
  <c r="O71" i="2"/>
  <c r="M92" i="2"/>
  <c r="N85" i="2"/>
  <c r="N86" i="2"/>
  <c r="N87" i="2"/>
  <c r="N80" i="2"/>
  <c r="N78" i="2" s="1"/>
  <c r="N91" i="2" s="1"/>
  <c r="N76" i="2"/>
  <c r="N75" i="2"/>
  <c r="N72" i="2"/>
  <c r="N73" i="2"/>
  <c r="N74" i="2"/>
  <c r="M70" i="2"/>
  <c r="M90" i="2" s="1"/>
  <c r="O10" i="2"/>
  <c r="O81" i="2" s="1"/>
  <c r="O18" i="2"/>
  <c r="O42" i="2"/>
  <c r="M37" i="2"/>
  <c r="M39" i="2" s="1"/>
  <c r="M29" i="2"/>
  <c r="M31" i="2" s="1"/>
  <c r="M33" i="2"/>
  <c r="M35" i="2" s="1"/>
  <c r="L65" i="2"/>
  <c r="P6" i="2"/>
  <c r="N52" i="2"/>
  <c r="N54" i="2" s="1"/>
  <c r="N44" i="2"/>
  <c r="N46" i="2" s="1"/>
  <c r="N56" i="2"/>
  <c r="N58" i="2" s="1"/>
  <c r="N48" i="2"/>
  <c r="N50" i="2" s="1"/>
  <c r="N60" i="2"/>
  <c r="N62" i="2" s="1"/>
  <c r="N27" i="2"/>
  <c r="N12" i="2"/>
  <c r="N20" i="2" s="1"/>
  <c r="P16" i="2"/>
  <c r="N18" i="1"/>
  <c r="N17" i="1"/>
  <c r="O16" i="1"/>
  <c r="M7" i="1"/>
  <c r="M8" i="1" s="1"/>
  <c r="L9" i="1"/>
  <c r="L2" i="1" s="1"/>
  <c r="S177" i="2" l="1"/>
  <c r="R55" i="3"/>
  <c r="T46" i="4"/>
  <c r="T32" i="3"/>
  <c r="V184" i="2"/>
  <c r="U186" i="2"/>
  <c r="N83" i="2"/>
  <c r="L7" i="3"/>
  <c r="L152" i="2"/>
  <c r="L47" i="3" s="1"/>
  <c r="F14" i="3"/>
  <c r="F36" i="4"/>
  <c r="L143" i="2"/>
  <c r="G146" i="2"/>
  <c r="H144" i="2"/>
  <c r="N6" i="3"/>
  <c r="N154" i="2"/>
  <c r="N49" i="3" s="1"/>
  <c r="L153" i="2"/>
  <c r="L48" i="3" s="1"/>
  <c r="L156" i="2"/>
  <c r="K158" i="2"/>
  <c r="K159" i="2" s="1"/>
  <c r="K25" i="3" s="1"/>
  <c r="N129" i="2"/>
  <c r="N130" i="2"/>
  <c r="N9" i="3" s="1"/>
  <c r="O127" i="2"/>
  <c r="O126" i="2"/>
  <c r="P111" i="2"/>
  <c r="P112" i="2" s="1"/>
  <c r="P102" i="2"/>
  <c r="P103" i="2" s="1"/>
  <c r="P100" i="2"/>
  <c r="P101" i="2" s="1"/>
  <c r="P122" i="2"/>
  <c r="P123" i="2" s="1"/>
  <c r="P113" i="2"/>
  <c r="P114" i="2" s="1"/>
  <c r="P104" i="2"/>
  <c r="P105" i="2" s="1"/>
  <c r="P120" i="2"/>
  <c r="P121" i="2" s="1"/>
  <c r="P118" i="2"/>
  <c r="P119" i="2" s="1"/>
  <c r="P106" i="2"/>
  <c r="P107" i="2" s="1"/>
  <c r="O128" i="2"/>
  <c r="M93" i="2"/>
  <c r="M8" i="3" s="1"/>
  <c r="N92" i="2"/>
  <c r="O86" i="2"/>
  <c r="O87" i="2"/>
  <c r="O85" i="2"/>
  <c r="O83" i="2" s="1"/>
  <c r="O80" i="2"/>
  <c r="O78" i="2" s="1"/>
  <c r="O91" i="2" s="1"/>
  <c r="O74" i="2"/>
  <c r="O75" i="2"/>
  <c r="O76" i="2"/>
  <c r="O73" i="2"/>
  <c r="O72" i="2"/>
  <c r="P79" i="2"/>
  <c r="P71" i="2"/>
  <c r="P84" i="2"/>
  <c r="N70" i="2"/>
  <c r="N90" i="2" s="1"/>
  <c r="M65" i="2"/>
  <c r="P18" i="2"/>
  <c r="P42" i="2"/>
  <c r="N37" i="2"/>
  <c r="N39" i="2" s="1"/>
  <c r="N29" i="2"/>
  <c r="N31" i="2" s="1"/>
  <c r="N33" i="2"/>
  <c r="N35" i="2" s="1"/>
  <c r="O44" i="2"/>
  <c r="O46" i="2" s="1"/>
  <c r="O56" i="2"/>
  <c r="O58" i="2" s="1"/>
  <c r="O52" i="2"/>
  <c r="O54" i="2" s="1"/>
  <c r="O48" i="2"/>
  <c r="O50" i="2" s="1"/>
  <c r="O60" i="2"/>
  <c r="O62" i="2" s="1"/>
  <c r="O27" i="2"/>
  <c r="O12" i="2"/>
  <c r="O20" i="2" s="1"/>
  <c r="P10" i="2"/>
  <c r="P81" i="2" s="1"/>
  <c r="Q6" i="2"/>
  <c r="Q16" i="2"/>
  <c r="O18" i="1"/>
  <c r="O17" i="1"/>
  <c r="P16" i="1"/>
  <c r="N7" i="1"/>
  <c r="N8" i="1" s="1"/>
  <c r="M9" i="1"/>
  <c r="M2" i="1" s="1"/>
  <c r="W184" i="2" l="1"/>
  <c r="V186" i="2"/>
  <c r="U32" i="3"/>
  <c r="U46" i="4"/>
  <c r="T177" i="2"/>
  <c r="S55" i="3"/>
  <c r="P128" i="2"/>
  <c r="M152" i="2"/>
  <c r="M47" i="3" s="1"/>
  <c r="M7" i="3"/>
  <c r="G43" i="3"/>
  <c r="G45" i="3" s="1"/>
  <c r="G164" i="2"/>
  <c r="G166" i="2" s="1"/>
  <c r="G10" i="3" s="1"/>
  <c r="G11" i="3" s="1"/>
  <c r="H145" i="2"/>
  <c r="H24" i="3"/>
  <c r="H13" i="3"/>
  <c r="M143" i="2"/>
  <c r="O6" i="3"/>
  <c r="O154" i="2"/>
  <c r="O49" i="3" s="1"/>
  <c r="L158" i="2"/>
  <c r="L159" i="2" s="1"/>
  <c r="L25" i="3" s="1"/>
  <c r="L60" i="3"/>
  <c r="M153" i="2"/>
  <c r="M48" i="3" s="1"/>
  <c r="M156" i="2"/>
  <c r="P127" i="2"/>
  <c r="N93" i="2"/>
  <c r="N8" i="3" s="1"/>
  <c r="P126" i="2"/>
  <c r="Q100" i="2"/>
  <c r="Q101" i="2" s="1"/>
  <c r="Q122" i="2"/>
  <c r="Q123" i="2" s="1"/>
  <c r="Q111" i="2"/>
  <c r="Q112" i="2" s="1"/>
  <c r="Q102" i="2"/>
  <c r="Q103" i="2" s="1"/>
  <c r="Q113" i="2"/>
  <c r="Q114" i="2" s="1"/>
  <c r="Q104" i="2"/>
  <c r="Q105" i="2" s="1"/>
  <c r="Q120" i="2"/>
  <c r="Q121" i="2" s="1"/>
  <c r="Q118" i="2"/>
  <c r="Q119" i="2" s="1"/>
  <c r="Q106" i="2"/>
  <c r="Q107" i="2" s="1"/>
  <c r="O129" i="2"/>
  <c r="O130" i="2" s="1"/>
  <c r="O9" i="3" s="1"/>
  <c r="O92" i="2"/>
  <c r="Q79" i="2"/>
  <c r="Q84" i="2"/>
  <c r="Q71" i="2"/>
  <c r="P80" i="2"/>
  <c r="P78" i="2" s="1"/>
  <c r="P91" i="2" s="1"/>
  <c r="P86" i="2"/>
  <c r="P87" i="2"/>
  <c r="P85" i="2"/>
  <c r="P83" i="2" s="1"/>
  <c r="P75" i="2"/>
  <c r="P74" i="2"/>
  <c r="P73" i="2"/>
  <c r="P76" i="2"/>
  <c r="P72" i="2"/>
  <c r="O70" i="2"/>
  <c r="O90" i="2" s="1"/>
  <c r="N65" i="2"/>
  <c r="Q18" i="2"/>
  <c r="Q42" i="2"/>
  <c r="R6" i="2"/>
  <c r="P12" i="2"/>
  <c r="P20" i="2" s="1"/>
  <c r="P27" i="2"/>
  <c r="Q10" i="2"/>
  <c r="Q81" i="2" s="1"/>
  <c r="P56" i="2"/>
  <c r="P58" i="2" s="1"/>
  <c r="P44" i="2"/>
  <c r="P46" i="2" s="1"/>
  <c r="P52" i="2"/>
  <c r="P54" i="2" s="1"/>
  <c r="P48" i="2"/>
  <c r="P50" i="2" s="1"/>
  <c r="P60" i="2"/>
  <c r="P62" i="2" s="1"/>
  <c r="O37" i="2"/>
  <c r="O39" i="2" s="1"/>
  <c r="O33" i="2"/>
  <c r="O35" i="2" s="1"/>
  <c r="O29" i="2"/>
  <c r="O31" i="2" s="1"/>
  <c r="O65" i="2" s="1"/>
  <c r="R16" i="2"/>
  <c r="P17" i="1"/>
  <c r="P18" i="1" s="1"/>
  <c r="O7" i="1"/>
  <c r="O8" i="1" s="1"/>
  <c r="N9" i="1"/>
  <c r="N2" i="1" s="1"/>
  <c r="U177" i="2" l="1"/>
  <c r="T55" i="3"/>
  <c r="V32" i="3"/>
  <c r="V46" i="4"/>
  <c r="X184" i="2"/>
  <c r="X186" i="2" s="1"/>
  <c r="W186" i="2"/>
  <c r="P129" i="2"/>
  <c r="P130" i="2" s="1"/>
  <c r="P9" i="3" s="1"/>
  <c r="N143" i="2"/>
  <c r="H146" i="2"/>
  <c r="I144" i="2"/>
  <c r="G14" i="3"/>
  <c r="G36" i="4"/>
  <c r="M158" i="2"/>
  <c r="M159" i="2" s="1"/>
  <c r="M25" i="3" s="1"/>
  <c r="M60" i="3"/>
  <c r="N152" i="2"/>
  <c r="N47" i="3" s="1"/>
  <c r="N7" i="3"/>
  <c r="P154" i="2"/>
  <c r="P49" i="3" s="1"/>
  <c r="P6" i="3"/>
  <c r="O152" i="2"/>
  <c r="O47" i="3" s="1"/>
  <c r="O7" i="3"/>
  <c r="N156" i="2"/>
  <c r="N60" i="3" s="1"/>
  <c r="N153" i="2"/>
  <c r="Q128" i="2"/>
  <c r="P92" i="2"/>
  <c r="O93" i="2"/>
  <c r="O8" i="3" s="1"/>
  <c r="R122" i="2"/>
  <c r="R123" i="2" s="1"/>
  <c r="R100" i="2"/>
  <c r="R101" i="2" s="1"/>
  <c r="R111" i="2"/>
  <c r="R112" i="2" s="1"/>
  <c r="R102" i="2"/>
  <c r="R103" i="2" s="1"/>
  <c r="R113" i="2"/>
  <c r="R114" i="2" s="1"/>
  <c r="R104" i="2"/>
  <c r="R105" i="2" s="1"/>
  <c r="R120" i="2"/>
  <c r="R121" i="2" s="1"/>
  <c r="R118" i="2"/>
  <c r="R119" i="2" s="1"/>
  <c r="R106" i="2"/>
  <c r="R107" i="2" s="1"/>
  <c r="P70" i="2"/>
  <c r="P90" i="2" s="1"/>
  <c r="Q127" i="2"/>
  <c r="Q126" i="2"/>
  <c r="R79" i="2"/>
  <c r="R84" i="2"/>
  <c r="R71" i="2"/>
  <c r="Q80" i="2"/>
  <c r="Q78" i="2" s="1"/>
  <c r="Q91" i="2" s="1"/>
  <c r="Q86" i="2"/>
  <c r="Q87" i="2"/>
  <c r="Q85" i="2"/>
  <c r="Q83" i="2" s="1"/>
  <c r="Q72" i="2"/>
  <c r="Q74" i="2"/>
  <c r="Q75" i="2"/>
  <c r="Q73" i="2"/>
  <c r="Q76" i="2"/>
  <c r="R18" i="2"/>
  <c r="R42" i="2"/>
  <c r="Q27" i="2"/>
  <c r="Q12" i="2"/>
  <c r="Q20" i="2" s="1"/>
  <c r="R10" i="2"/>
  <c r="R81" i="2" s="1"/>
  <c r="P33" i="2"/>
  <c r="P35" i="2" s="1"/>
  <c r="P37" i="2"/>
  <c r="P39" i="2" s="1"/>
  <c r="P29" i="2"/>
  <c r="P31" i="2" s="1"/>
  <c r="S6" i="2"/>
  <c r="Q56" i="2"/>
  <c r="Q58" i="2" s="1"/>
  <c r="Q60" i="2"/>
  <c r="Q62" i="2" s="1"/>
  <c r="Q48" i="2"/>
  <c r="Q50" i="2" s="1"/>
  <c r="Q44" i="2"/>
  <c r="Q46" i="2" s="1"/>
  <c r="Q52" i="2"/>
  <c r="Q54" i="2" s="1"/>
  <c r="S16" i="2"/>
  <c r="Q17" i="1"/>
  <c r="Q18" i="1" s="1"/>
  <c r="P7" i="1"/>
  <c r="P8" i="1" s="1"/>
  <c r="O9" i="1"/>
  <c r="O2" i="1" s="1"/>
  <c r="X32" i="3" l="1"/>
  <c r="X46" i="4"/>
  <c r="W32" i="3"/>
  <c r="W46" i="4"/>
  <c r="V177" i="2"/>
  <c r="U55" i="3"/>
  <c r="H43" i="3"/>
  <c r="H45" i="3" s="1"/>
  <c r="H164" i="2"/>
  <c r="H166" i="2" s="1"/>
  <c r="H10" i="3" s="1"/>
  <c r="H11" i="3" s="1"/>
  <c r="Q6" i="3"/>
  <c r="Q154" i="2"/>
  <c r="Q49" i="3" s="1"/>
  <c r="I145" i="2"/>
  <c r="I24" i="3"/>
  <c r="I13" i="3"/>
  <c r="N158" i="2"/>
  <c r="N159" i="2" s="1"/>
  <c r="N25" i="3" s="1"/>
  <c r="N48" i="3"/>
  <c r="O143" i="2"/>
  <c r="O156" i="2"/>
  <c r="O60" i="3" s="1"/>
  <c r="O153" i="2"/>
  <c r="R127" i="2"/>
  <c r="P93" i="2"/>
  <c r="P8" i="3" s="1"/>
  <c r="Q129" i="2"/>
  <c r="Q130" i="2"/>
  <c r="Q9" i="3" s="1"/>
  <c r="S111" i="2"/>
  <c r="S112" i="2" s="1"/>
  <c r="S102" i="2"/>
  <c r="S103" i="2" s="1"/>
  <c r="S113" i="2"/>
  <c r="S114" i="2" s="1"/>
  <c r="S104" i="2"/>
  <c r="S105" i="2" s="1"/>
  <c r="S100" i="2"/>
  <c r="S101" i="2" s="1"/>
  <c r="S120" i="2"/>
  <c r="S121" i="2" s="1"/>
  <c r="S118" i="2"/>
  <c r="S119" i="2" s="1"/>
  <c r="S106" i="2"/>
  <c r="S107" i="2" s="1"/>
  <c r="S122" i="2"/>
  <c r="S123" i="2" s="1"/>
  <c r="R128" i="2"/>
  <c r="R126" i="2"/>
  <c r="Q92" i="2"/>
  <c r="R80" i="2"/>
  <c r="R78" i="2" s="1"/>
  <c r="R91" i="2" s="1"/>
  <c r="R85" i="2"/>
  <c r="R87" i="2"/>
  <c r="R86" i="2"/>
  <c r="R73" i="2"/>
  <c r="R72" i="2"/>
  <c r="R74" i="2"/>
  <c r="R76" i="2"/>
  <c r="R75" i="2"/>
  <c r="S84" i="2"/>
  <c r="S79" i="2"/>
  <c r="S71" i="2"/>
  <c r="Q70" i="2"/>
  <c r="Q90" i="2" s="1"/>
  <c r="S18" i="2"/>
  <c r="S42" i="2"/>
  <c r="R27" i="2"/>
  <c r="R12" i="2"/>
  <c r="R20" i="2" s="1"/>
  <c r="S10" i="2"/>
  <c r="S81" i="2" s="1"/>
  <c r="Q33" i="2"/>
  <c r="Q35" i="2" s="1"/>
  <c r="Q37" i="2"/>
  <c r="Q39" i="2" s="1"/>
  <c r="Q29" i="2"/>
  <c r="Q31" i="2" s="1"/>
  <c r="R56" i="2"/>
  <c r="R58" i="2" s="1"/>
  <c r="R60" i="2"/>
  <c r="R62" i="2" s="1"/>
  <c r="R48" i="2"/>
  <c r="R50" i="2" s="1"/>
  <c r="R52" i="2"/>
  <c r="R54" i="2" s="1"/>
  <c r="R44" i="2"/>
  <c r="R46" i="2" s="1"/>
  <c r="T6" i="2"/>
  <c r="P65" i="2"/>
  <c r="T16" i="2"/>
  <c r="R17" i="1"/>
  <c r="R18" i="1" s="1"/>
  <c r="Q7" i="1"/>
  <c r="Q8" i="1" s="1"/>
  <c r="P9" i="1"/>
  <c r="P2" i="1" s="1"/>
  <c r="W177" i="2" l="1"/>
  <c r="V55" i="3"/>
  <c r="Q93" i="2"/>
  <c r="Q8" i="3" s="1"/>
  <c r="P7" i="3"/>
  <c r="P152" i="2"/>
  <c r="P47" i="3" s="1"/>
  <c r="P143" i="2"/>
  <c r="H14" i="3"/>
  <c r="H36" i="4"/>
  <c r="O158" i="2"/>
  <c r="O159" i="2" s="1"/>
  <c r="O25" i="3" s="1"/>
  <c r="O48" i="3"/>
  <c r="R83" i="2"/>
  <c r="R92" i="2" s="1"/>
  <c r="R154" i="2"/>
  <c r="R49" i="3" s="1"/>
  <c r="R6" i="3"/>
  <c r="I146" i="2"/>
  <c r="J144" i="2"/>
  <c r="P156" i="2"/>
  <c r="P60" i="3" s="1"/>
  <c r="P153" i="2"/>
  <c r="S127" i="2"/>
  <c r="R129" i="2"/>
  <c r="R130" i="2" s="1"/>
  <c r="R9" i="3" s="1"/>
  <c r="S128" i="2"/>
  <c r="T104" i="2"/>
  <c r="T105" i="2" s="1"/>
  <c r="T113" i="2"/>
  <c r="T114" i="2" s="1"/>
  <c r="T100" i="2"/>
  <c r="T101" i="2" s="1"/>
  <c r="T120" i="2"/>
  <c r="T121" i="2" s="1"/>
  <c r="T118" i="2"/>
  <c r="T119" i="2" s="1"/>
  <c r="T106" i="2"/>
  <c r="T107" i="2" s="1"/>
  <c r="T122" i="2"/>
  <c r="T123" i="2" s="1"/>
  <c r="T111" i="2"/>
  <c r="T112" i="2" s="1"/>
  <c r="T102" i="2"/>
  <c r="T103" i="2" s="1"/>
  <c r="S126" i="2"/>
  <c r="R70" i="2"/>
  <c r="R90" i="2" s="1"/>
  <c r="T84" i="2"/>
  <c r="T79" i="2"/>
  <c r="T71" i="2"/>
  <c r="S80" i="2"/>
  <c r="S78" i="2" s="1"/>
  <c r="S91" i="2" s="1"/>
  <c r="S87" i="2"/>
  <c r="S86" i="2"/>
  <c r="S85" i="2"/>
  <c r="S76" i="2"/>
  <c r="S73" i="2"/>
  <c r="S72" i="2"/>
  <c r="S74" i="2"/>
  <c r="S75" i="2"/>
  <c r="T18" i="2"/>
  <c r="T42" i="2"/>
  <c r="S27" i="2"/>
  <c r="S12" i="2"/>
  <c r="S20" i="2" s="1"/>
  <c r="T10" i="2"/>
  <c r="T81" i="2" s="1"/>
  <c r="U6" i="2"/>
  <c r="R33" i="2"/>
  <c r="R35" i="2" s="1"/>
  <c r="R29" i="2"/>
  <c r="R31" i="2" s="1"/>
  <c r="R37" i="2"/>
  <c r="R39" i="2" s="1"/>
  <c r="S56" i="2"/>
  <c r="S58" i="2" s="1"/>
  <c r="S60" i="2"/>
  <c r="S62" i="2" s="1"/>
  <c r="S48" i="2"/>
  <c r="S50" i="2" s="1"/>
  <c r="S44" i="2"/>
  <c r="S46" i="2" s="1"/>
  <c r="S52" i="2"/>
  <c r="S54" i="2" s="1"/>
  <c r="Q65" i="2"/>
  <c r="Q153" i="2" s="1"/>
  <c r="U16" i="2"/>
  <c r="S17" i="1"/>
  <c r="S18" i="1" s="1"/>
  <c r="R7" i="1"/>
  <c r="R8" i="1" s="1"/>
  <c r="Q9" i="1"/>
  <c r="Q2" i="1" s="1"/>
  <c r="X177" i="2" l="1"/>
  <c r="X55" i="3" s="1"/>
  <c r="W55" i="3"/>
  <c r="Q48" i="3"/>
  <c r="S83" i="2"/>
  <c r="S92" i="2" s="1"/>
  <c r="P158" i="2"/>
  <c r="P159" i="2" s="1"/>
  <c r="P25" i="3" s="1"/>
  <c r="P48" i="3"/>
  <c r="I43" i="3"/>
  <c r="I45" i="3" s="1"/>
  <c r="I164" i="2"/>
  <c r="I166" i="2" s="1"/>
  <c r="I10" i="3" s="1"/>
  <c r="I11" i="3" s="1"/>
  <c r="Q143" i="2"/>
  <c r="J145" i="2"/>
  <c r="J24" i="3"/>
  <c r="J13" i="3"/>
  <c r="Q7" i="3"/>
  <c r="Q152" i="2"/>
  <c r="Q47" i="3" s="1"/>
  <c r="S154" i="2"/>
  <c r="S49" i="3" s="1"/>
  <c r="S6" i="3"/>
  <c r="Q156" i="2"/>
  <c r="Q60" i="3" s="1"/>
  <c r="T128" i="2"/>
  <c r="R93" i="2"/>
  <c r="R8" i="3" s="1"/>
  <c r="S129" i="2"/>
  <c r="S130" i="2" s="1"/>
  <c r="S9" i="3" s="1"/>
  <c r="T127" i="2"/>
  <c r="U104" i="2"/>
  <c r="U105" i="2" s="1"/>
  <c r="U113" i="2"/>
  <c r="U114" i="2" s="1"/>
  <c r="U120" i="2"/>
  <c r="U121" i="2" s="1"/>
  <c r="U118" i="2"/>
  <c r="U119" i="2" s="1"/>
  <c r="U106" i="2"/>
  <c r="U107" i="2" s="1"/>
  <c r="U100" i="2"/>
  <c r="U101" i="2" s="1"/>
  <c r="U122" i="2"/>
  <c r="U123" i="2" s="1"/>
  <c r="U111" i="2"/>
  <c r="U112" i="2" s="1"/>
  <c r="U102" i="2"/>
  <c r="U103" i="2" s="1"/>
  <c r="T126" i="2"/>
  <c r="T80" i="2"/>
  <c r="T78" i="2" s="1"/>
  <c r="T91" i="2" s="1"/>
  <c r="T87" i="2"/>
  <c r="T85" i="2"/>
  <c r="T86" i="2"/>
  <c r="T75" i="2"/>
  <c r="T72" i="2"/>
  <c r="T74" i="2"/>
  <c r="T76" i="2"/>
  <c r="T73" i="2"/>
  <c r="S70" i="2"/>
  <c r="S90" i="2" s="1"/>
  <c r="U84" i="2"/>
  <c r="U79" i="2"/>
  <c r="U71" i="2"/>
  <c r="U18" i="2"/>
  <c r="U42" i="2"/>
  <c r="V6" i="2"/>
  <c r="T27" i="2"/>
  <c r="T12" i="2"/>
  <c r="T20" i="2" s="1"/>
  <c r="U10" i="2"/>
  <c r="U81" i="2" s="1"/>
  <c r="S33" i="2"/>
  <c r="S35" i="2" s="1"/>
  <c r="S37" i="2"/>
  <c r="S39" i="2" s="1"/>
  <c r="S29" i="2"/>
  <c r="S31" i="2" s="1"/>
  <c r="S65" i="2" s="1"/>
  <c r="T56" i="2"/>
  <c r="T58" i="2" s="1"/>
  <c r="T60" i="2"/>
  <c r="T62" i="2" s="1"/>
  <c r="T48" i="2"/>
  <c r="T50" i="2" s="1"/>
  <c r="T52" i="2"/>
  <c r="T54" i="2" s="1"/>
  <c r="T44" i="2"/>
  <c r="T46" i="2" s="1"/>
  <c r="R65" i="2"/>
  <c r="V16" i="2"/>
  <c r="T17" i="1"/>
  <c r="T18" i="1" s="1"/>
  <c r="S7" i="1"/>
  <c r="S8" i="1" s="1"/>
  <c r="R9" i="1"/>
  <c r="R2" i="1" s="1"/>
  <c r="S152" i="2" l="1"/>
  <c r="S47" i="3" s="1"/>
  <c r="S7" i="3"/>
  <c r="S93" i="2"/>
  <c r="S8" i="3" s="1"/>
  <c r="T154" i="2"/>
  <c r="T49" i="3" s="1"/>
  <c r="T6" i="3"/>
  <c r="J146" i="2"/>
  <c r="K144" i="2"/>
  <c r="R152" i="2"/>
  <c r="R47" i="3" s="1"/>
  <c r="R7" i="3"/>
  <c r="T83" i="2"/>
  <c r="T92" i="2" s="1"/>
  <c r="R143" i="2"/>
  <c r="I14" i="3"/>
  <c r="I36" i="4"/>
  <c r="T129" i="2"/>
  <c r="T130" i="2" s="1"/>
  <c r="T9" i="3" s="1"/>
  <c r="Q158" i="2"/>
  <c r="Q159" i="2" s="1"/>
  <c r="Q25" i="3" s="1"/>
  <c r="S153" i="2"/>
  <c r="S48" i="3" s="1"/>
  <c r="R153" i="2"/>
  <c r="R156" i="2"/>
  <c r="R60" i="3" s="1"/>
  <c r="U127" i="2"/>
  <c r="U128" i="2"/>
  <c r="V113" i="2"/>
  <c r="V114" i="2" s="1"/>
  <c r="V104" i="2"/>
  <c r="V105" i="2" s="1"/>
  <c r="V120" i="2"/>
  <c r="V121" i="2" s="1"/>
  <c r="V118" i="2"/>
  <c r="V119" i="2" s="1"/>
  <c r="V106" i="2"/>
  <c r="V107" i="2" s="1"/>
  <c r="V100" i="2"/>
  <c r="V101" i="2" s="1"/>
  <c r="V122" i="2"/>
  <c r="V123" i="2" s="1"/>
  <c r="V111" i="2"/>
  <c r="V112" i="2" s="1"/>
  <c r="V102" i="2"/>
  <c r="V103" i="2" s="1"/>
  <c r="U126" i="2"/>
  <c r="V84" i="2"/>
  <c r="V79" i="2"/>
  <c r="V71" i="2"/>
  <c r="U86" i="2"/>
  <c r="U85" i="2"/>
  <c r="U87" i="2"/>
  <c r="U80" i="2"/>
  <c r="U78" i="2" s="1"/>
  <c r="U91" i="2" s="1"/>
  <c r="U74" i="2"/>
  <c r="U75" i="2"/>
  <c r="U76" i="2"/>
  <c r="U72" i="2"/>
  <c r="U73" i="2"/>
  <c r="T70" i="2"/>
  <c r="T90" i="2" s="1"/>
  <c r="U60" i="2"/>
  <c r="U62" i="2" s="1"/>
  <c r="U48" i="2"/>
  <c r="U50" i="2" s="1"/>
  <c r="U52" i="2"/>
  <c r="U54" i="2" s="1"/>
  <c r="U44" i="2"/>
  <c r="U46" i="2" s="1"/>
  <c r="U56" i="2"/>
  <c r="U58" i="2" s="1"/>
  <c r="V18" i="2"/>
  <c r="V42" i="2"/>
  <c r="U27" i="2"/>
  <c r="U12" i="2"/>
  <c r="U20" i="2" s="1"/>
  <c r="V10" i="2"/>
  <c r="V81" i="2" s="1"/>
  <c r="T29" i="2"/>
  <c r="T31" i="2" s="1"/>
  <c r="T33" i="2"/>
  <c r="T35" i="2" s="1"/>
  <c r="T37" i="2"/>
  <c r="T39" i="2" s="1"/>
  <c r="W6" i="2"/>
  <c r="X16" i="2"/>
  <c r="W16" i="2"/>
  <c r="U17" i="1"/>
  <c r="U18" i="1" s="1"/>
  <c r="T7" i="1"/>
  <c r="T8" i="1" s="1"/>
  <c r="S9" i="1"/>
  <c r="S2" i="1" s="1"/>
  <c r="S156" i="2" l="1"/>
  <c r="S60" i="3" s="1"/>
  <c r="U154" i="2"/>
  <c r="U49" i="3" s="1"/>
  <c r="U6" i="3"/>
  <c r="R158" i="2"/>
  <c r="R159" i="2" s="1"/>
  <c r="R25" i="3" s="1"/>
  <c r="R48" i="3"/>
  <c r="U83" i="2"/>
  <c r="U92" i="2" s="1"/>
  <c r="K145" i="2"/>
  <c r="K24" i="3"/>
  <c r="K13" i="3"/>
  <c r="S143" i="2"/>
  <c r="V128" i="2"/>
  <c r="J43" i="3"/>
  <c r="J45" i="3" s="1"/>
  <c r="J164" i="2"/>
  <c r="J166" i="2" s="1"/>
  <c r="J10" i="3" s="1"/>
  <c r="J11" i="3" s="1"/>
  <c r="S158" i="2"/>
  <c r="U129" i="2"/>
  <c r="U130" i="2" s="1"/>
  <c r="U9" i="3" s="1"/>
  <c r="V127" i="2"/>
  <c r="W113" i="2"/>
  <c r="W114" i="2" s="1"/>
  <c r="W104" i="2"/>
  <c r="W105" i="2" s="1"/>
  <c r="W120" i="2"/>
  <c r="W121" i="2" s="1"/>
  <c r="W118" i="2"/>
  <c r="W119" i="2" s="1"/>
  <c r="W106" i="2"/>
  <c r="W107" i="2" s="1"/>
  <c r="W102" i="2"/>
  <c r="W103" i="2" s="1"/>
  <c r="W122" i="2"/>
  <c r="W123" i="2" s="1"/>
  <c r="W111" i="2"/>
  <c r="W112" i="2" s="1"/>
  <c r="W100" i="2"/>
  <c r="W101" i="2" s="1"/>
  <c r="V126" i="2"/>
  <c r="T65" i="2"/>
  <c r="T93" i="2"/>
  <c r="T8" i="3" s="1"/>
  <c r="W84" i="2"/>
  <c r="W71" i="2"/>
  <c r="W79" i="2"/>
  <c r="U70" i="2"/>
  <c r="U90" i="2" s="1"/>
  <c r="V85" i="2"/>
  <c r="V80" i="2"/>
  <c r="V78" i="2" s="1"/>
  <c r="V91" i="2" s="1"/>
  <c r="V87" i="2"/>
  <c r="V86" i="2"/>
  <c r="V73" i="2"/>
  <c r="V74" i="2"/>
  <c r="V75" i="2"/>
  <c r="V76" i="2"/>
  <c r="V72" i="2"/>
  <c r="X6" i="2"/>
  <c r="V60" i="2"/>
  <c r="V62" i="2" s="1"/>
  <c r="V48" i="2"/>
  <c r="V50" i="2" s="1"/>
  <c r="V52" i="2"/>
  <c r="V54" i="2" s="1"/>
  <c r="V56" i="2"/>
  <c r="V58" i="2" s="1"/>
  <c r="V44" i="2"/>
  <c r="V46" i="2" s="1"/>
  <c r="V27" i="2"/>
  <c r="V12" i="2"/>
  <c r="V20" i="2" s="1"/>
  <c r="X10" i="2"/>
  <c r="X81" i="2" s="1"/>
  <c r="W10" i="2"/>
  <c r="W81" i="2" s="1"/>
  <c r="U37" i="2"/>
  <c r="U39" i="2" s="1"/>
  <c r="U29" i="2"/>
  <c r="U31" i="2" s="1"/>
  <c r="U33" i="2"/>
  <c r="U35" i="2" s="1"/>
  <c r="W18" i="2"/>
  <c r="W42" i="2"/>
  <c r="X18" i="2"/>
  <c r="X42" i="2"/>
  <c r="V17" i="1"/>
  <c r="V18" i="1" s="1"/>
  <c r="U7" i="1"/>
  <c r="U8" i="1" s="1"/>
  <c r="T9" i="1"/>
  <c r="T2" i="1" s="1"/>
  <c r="S159" i="2" l="1"/>
  <c r="S25" i="3" s="1"/>
  <c r="V129" i="2"/>
  <c r="V130" i="2" s="1"/>
  <c r="V9" i="3" s="1"/>
  <c r="K146" i="2"/>
  <c r="L144" i="2"/>
  <c r="J14" i="3"/>
  <c r="J36" i="4"/>
  <c r="T7" i="3"/>
  <c r="T152" i="2"/>
  <c r="T47" i="3" s="1"/>
  <c r="V154" i="2"/>
  <c r="V49" i="3" s="1"/>
  <c r="V6" i="3"/>
  <c r="V83" i="2"/>
  <c r="T143" i="2"/>
  <c r="T153" i="2"/>
  <c r="T48" i="3" s="1"/>
  <c r="T156" i="2"/>
  <c r="U93" i="2"/>
  <c r="U8" i="3" s="1"/>
  <c r="W126" i="2"/>
  <c r="W127" i="2"/>
  <c r="X120" i="2"/>
  <c r="X121" i="2" s="1"/>
  <c r="X118" i="2"/>
  <c r="X119" i="2" s="1"/>
  <c r="X106" i="2"/>
  <c r="X107" i="2" s="1"/>
  <c r="X122" i="2"/>
  <c r="X123" i="2" s="1"/>
  <c r="X111" i="2"/>
  <c r="X112" i="2" s="1"/>
  <c r="X102" i="2"/>
  <c r="X103" i="2" s="1"/>
  <c r="X100" i="2"/>
  <c r="X101" i="2" s="1"/>
  <c r="X113" i="2"/>
  <c r="X114" i="2" s="1"/>
  <c r="X104" i="2"/>
  <c r="X105" i="2" s="1"/>
  <c r="W128" i="2"/>
  <c r="V70" i="2"/>
  <c r="V90" i="2" s="1"/>
  <c r="V92" i="2"/>
  <c r="X71" i="2"/>
  <c r="X84" i="2"/>
  <c r="X79" i="2"/>
  <c r="W85" i="2"/>
  <c r="W83" i="2" s="1"/>
  <c r="W80" i="2"/>
  <c r="W78" i="2" s="1"/>
  <c r="W91" i="2" s="1"/>
  <c r="W86" i="2"/>
  <c r="W87" i="2"/>
  <c r="W72" i="2"/>
  <c r="W73" i="2"/>
  <c r="W74" i="2"/>
  <c r="W75" i="2"/>
  <c r="W76" i="2"/>
  <c r="U65" i="2"/>
  <c r="W27" i="2"/>
  <c r="W12" i="2"/>
  <c r="W20" i="2" s="1"/>
  <c r="X12" i="2"/>
  <c r="X20" i="2" s="1"/>
  <c r="X27" i="2"/>
  <c r="W60" i="2"/>
  <c r="W62" i="2" s="1"/>
  <c r="W48" i="2"/>
  <c r="W50" i="2" s="1"/>
  <c r="W44" i="2"/>
  <c r="W46" i="2" s="1"/>
  <c r="W52" i="2"/>
  <c r="W54" i="2" s="1"/>
  <c r="W56" i="2"/>
  <c r="W58" i="2" s="1"/>
  <c r="V37" i="2"/>
  <c r="V39" i="2" s="1"/>
  <c r="V29" i="2"/>
  <c r="V31" i="2" s="1"/>
  <c r="V33" i="2"/>
  <c r="V35" i="2" s="1"/>
  <c r="X44" i="2"/>
  <c r="X46" i="2" s="1"/>
  <c r="X52" i="2"/>
  <c r="X54" i="2" s="1"/>
  <c r="X60" i="2"/>
  <c r="X62" i="2" s="1"/>
  <c r="X48" i="2"/>
  <c r="X50" i="2" s="1"/>
  <c r="X56" i="2"/>
  <c r="X58" i="2" s="1"/>
  <c r="X17" i="1"/>
  <c r="W17" i="1"/>
  <c r="W18" i="1" s="1"/>
  <c r="X18" i="1" s="1"/>
  <c r="V7" i="1"/>
  <c r="V8" i="1" s="1"/>
  <c r="U9" i="1"/>
  <c r="U2" i="1" s="1"/>
  <c r="W154" i="2" l="1"/>
  <c r="W49" i="3" s="1"/>
  <c r="W6" i="3"/>
  <c r="X128" i="2"/>
  <c r="L145" i="2"/>
  <c r="L24" i="3"/>
  <c r="L13" i="3"/>
  <c r="X154" i="2"/>
  <c r="X49" i="3" s="1"/>
  <c r="X6" i="3"/>
  <c r="T158" i="2"/>
  <c r="T159" i="2" s="1"/>
  <c r="T25" i="3" s="1"/>
  <c r="T60" i="3"/>
  <c r="U143" i="2"/>
  <c r="K43" i="3"/>
  <c r="K45" i="3" s="1"/>
  <c r="K164" i="2"/>
  <c r="K166" i="2" s="1"/>
  <c r="K10" i="3" s="1"/>
  <c r="K11" i="3" s="1"/>
  <c r="U152" i="2"/>
  <c r="U47" i="3" s="1"/>
  <c r="U7" i="3"/>
  <c r="U156" i="2"/>
  <c r="U60" i="3" s="1"/>
  <c r="U153" i="2"/>
  <c r="U48" i="3" s="1"/>
  <c r="V93" i="2"/>
  <c r="V8" i="3" s="1"/>
  <c r="W129" i="2"/>
  <c r="W130" i="2" s="1"/>
  <c r="W9" i="3" s="1"/>
  <c r="X126" i="2"/>
  <c r="X127" i="2"/>
  <c r="W92" i="2"/>
  <c r="X87" i="2"/>
  <c r="X85" i="2"/>
  <c r="X80" i="2"/>
  <c r="X78" i="2" s="1"/>
  <c r="X91" i="2" s="1"/>
  <c r="X86" i="2"/>
  <c r="X74" i="2"/>
  <c r="X72" i="2"/>
  <c r="X73" i="2"/>
  <c r="X75" i="2"/>
  <c r="X76" i="2"/>
  <c r="V65" i="2"/>
  <c r="W70" i="2"/>
  <c r="W90" i="2" s="1"/>
  <c r="W37" i="2"/>
  <c r="W39" i="2" s="1"/>
  <c r="W29" i="2"/>
  <c r="W31" i="2" s="1"/>
  <c r="W33" i="2"/>
  <c r="W35" i="2" s="1"/>
  <c r="X37" i="2"/>
  <c r="X39" i="2" s="1"/>
  <c r="X29" i="2"/>
  <c r="X31" i="2" s="1"/>
  <c r="X33" i="2"/>
  <c r="X35" i="2" s="1"/>
  <c r="W7" i="1"/>
  <c r="W8" i="1" s="1"/>
  <c r="V9" i="1"/>
  <c r="V2" i="1" s="1"/>
  <c r="L146" i="2" l="1"/>
  <c r="M144" i="2"/>
  <c r="X83" i="2"/>
  <c r="V7" i="3"/>
  <c r="V152" i="2"/>
  <c r="V47" i="3" s="1"/>
  <c r="V143" i="2"/>
  <c r="K14" i="3"/>
  <c r="K36" i="4"/>
  <c r="V156" i="2"/>
  <c r="V60" i="3" s="1"/>
  <c r="V153" i="2"/>
  <c r="V48" i="3" s="1"/>
  <c r="U158" i="2"/>
  <c r="U159" i="2" s="1"/>
  <c r="U25" i="3" s="1"/>
  <c r="W93" i="2"/>
  <c r="W8" i="3" s="1"/>
  <c r="X129" i="2"/>
  <c r="X130" i="2" s="1"/>
  <c r="X9" i="3" s="1"/>
  <c r="X70" i="2"/>
  <c r="X90" i="2" s="1"/>
  <c r="X65" i="2"/>
  <c r="X92" i="2"/>
  <c r="W65" i="2"/>
  <c r="X7" i="1"/>
  <c r="X8" i="1" s="1"/>
  <c r="X9" i="1" s="1"/>
  <c r="X2" i="1" s="1"/>
  <c r="W9" i="1"/>
  <c r="W2" i="1" s="1"/>
  <c r="X7" i="3" l="1"/>
  <c r="X152" i="2"/>
  <c r="X47" i="3" s="1"/>
  <c r="M145" i="2"/>
  <c r="M24" i="3"/>
  <c r="M13" i="3"/>
  <c r="W7" i="3"/>
  <c r="W152" i="2"/>
  <c r="W47" i="3" s="1"/>
  <c r="L43" i="3"/>
  <c r="L45" i="3" s="1"/>
  <c r="L164" i="2"/>
  <c r="L166" i="2" s="1"/>
  <c r="L10" i="3" s="1"/>
  <c r="L11" i="3" s="1"/>
  <c r="W143" i="2"/>
  <c r="W156" i="2"/>
  <c r="W153" i="2"/>
  <c r="W48" i="3" s="1"/>
  <c r="V158" i="2"/>
  <c r="V159" i="2" s="1"/>
  <c r="V25" i="3" s="1"/>
  <c r="X93" i="2"/>
  <c r="X8" i="3" s="1"/>
  <c r="W158" i="2" l="1"/>
  <c r="W159" i="2" s="1"/>
  <c r="W25" i="3" s="1"/>
  <c r="W60" i="3"/>
  <c r="X143" i="2"/>
  <c r="L14" i="3"/>
  <c r="L36" i="4"/>
  <c r="M146" i="2"/>
  <c r="N144" i="2"/>
  <c r="X153" i="2"/>
  <c r="X48" i="3" s="1"/>
  <c r="X156" i="2"/>
  <c r="X60" i="3" s="1"/>
  <c r="M43" i="3" l="1"/>
  <c r="M45" i="3" s="1"/>
  <c r="M164" i="2"/>
  <c r="M166" i="2" s="1"/>
  <c r="M10" i="3" s="1"/>
  <c r="M11" i="3" s="1"/>
  <c r="N145" i="2"/>
  <c r="N24" i="3"/>
  <c r="N13" i="3"/>
  <c r="X158" i="2"/>
  <c r="X159" i="2" s="1"/>
  <c r="X25" i="3" s="1"/>
  <c r="M14" i="3" l="1"/>
  <c r="M36" i="4"/>
  <c r="N146" i="2"/>
  <c r="O144" i="2"/>
  <c r="O145" i="2" l="1"/>
  <c r="O24" i="3"/>
  <c r="O13" i="3"/>
  <c r="N43" i="3"/>
  <c r="N45" i="3" s="1"/>
  <c r="N164" i="2"/>
  <c r="N166" i="2" s="1"/>
  <c r="N10" i="3" s="1"/>
  <c r="N11" i="3" s="1"/>
  <c r="N14" i="3" l="1"/>
  <c r="N36" i="4"/>
  <c r="O146" i="2"/>
  <c r="P144" i="2"/>
  <c r="P145" i="2" l="1"/>
  <c r="P24" i="3"/>
  <c r="P13" i="3"/>
  <c r="O43" i="3"/>
  <c r="O45" i="3" s="1"/>
  <c r="O164" i="2"/>
  <c r="O166" i="2" s="1"/>
  <c r="O10" i="3" s="1"/>
  <c r="O11" i="3" s="1"/>
  <c r="O14" i="3" l="1"/>
  <c r="O36" i="4"/>
  <c r="P146" i="2"/>
  <c r="Q144" i="2"/>
  <c r="P43" i="3" l="1"/>
  <c r="P45" i="3" s="1"/>
  <c r="P164" i="2"/>
  <c r="P166" i="2" s="1"/>
  <c r="P10" i="3" s="1"/>
  <c r="P11" i="3" s="1"/>
  <c r="Q145" i="2"/>
  <c r="Q24" i="3"/>
  <c r="Q13" i="3"/>
  <c r="P14" i="3" l="1"/>
  <c r="P36" i="4"/>
  <c r="Q146" i="2"/>
  <c r="R144" i="2"/>
  <c r="Q43" i="3" l="1"/>
  <c r="Q45" i="3" s="1"/>
  <c r="Q164" i="2"/>
  <c r="Q166" i="2" s="1"/>
  <c r="Q10" i="3" s="1"/>
  <c r="Q11" i="3" s="1"/>
  <c r="R145" i="2"/>
  <c r="R24" i="3"/>
  <c r="R13" i="3"/>
  <c r="Q14" i="3" l="1"/>
  <c r="Q36" i="4"/>
  <c r="R146" i="2"/>
  <c r="S144" i="2"/>
  <c r="S145" i="2" l="1"/>
  <c r="S24" i="3"/>
  <c r="S13" i="3"/>
  <c r="R43" i="3"/>
  <c r="R45" i="3" s="1"/>
  <c r="R164" i="2"/>
  <c r="R166" i="2" s="1"/>
  <c r="R10" i="3" s="1"/>
  <c r="R11" i="3" s="1"/>
  <c r="R14" i="3" l="1"/>
  <c r="R36" i="4"/>
  <c r="S146" i="2"/>
  <c r="T144" i="2"/>
  <c r="T145" i="2" l="1"/>
  <c r="T24" i="3"/>
  <c r="T13" i="3"/>
  <c r="S43" i="3"/>
  <c r="S45" i="3" s="1"/>
  <c r="S164" i="2"/>
  <c r="S166" i="2" s="1"/>
  <c r="S10" i="3" s="1"/>
  <c r="S11" i="3" s="1"/>
  <c r="S14" i="3" l="1"/>
  <c r="S36" i="4"/>
  <c r="T146" i="2"/>
  <c r="U144" i="2"/>
  <c r="U145" i="2" l="1"/>
  <c r="U24" i="3"/>
  <c r="U13" i="3"/>
  <c r="T43" i="3"/>
  <c r="T45" i="3" s="1"/>
  <c r="T164" i="2"/>
  <c r="T166" i="2" s="1"/>
  <c r="T10" i="3" s="1"/>
  <c r="T11" i="3" s="1"/>
  <c r="T14" i="3" l="1"/>
  <c r="T36" i="4"/>
  <c r="U146" i="2"/>
  <c r="V144" i="2"/>
  <c r="V145" i="2" l="1"/>
  <c r="V24" i="3"/>
  <c r="V13" i="3"/>
  <c r="U43" i="3"/>
  <c r="U45" i="3" s="1"/>
  <c r="U164" i="2"/>
  <c r="U166" i="2" s="1"/>
  <c r="U10" i="3" s="1"/>
  <c r="U11" i="3" s="1"/>
  <c r="U14" i="3" l="1"/>
  <c r="U36" i="4"/>
  <c r="V146" i="2"/>
  <c r="W144" i="2"/>
  <c r="W145" i="2" l="1"/>
  <c r="W24" i="3"/>
  <c r="W13" i="3"/>
  <c r="V43" i="3"/>
  <c r="V45" i="3" s="1"/>
  <c r="V164" i="2"/>
  <c r="V166" i="2" s="1"/>
  <c r="V10" i="3" s="1"/>
  <c r="V11" i="3" s="1"/>
  <c r="V14" i="3" l="1"/>
  <c r="V36" i="4"/>
  <c r="W146" i="2"/>
  <c r="X144" i="2"/>
  <c r="X145" i="2" l="1"/>
  <c r="X146" i="2" s="1"/>
  <c r="X43" i="3" s="1"/>
  <c r="X45" i="3" s="1"/>
  <c r="X24" i="3"/>
  <c r="X13" i="3"/>
  <c r="W43" i="3"/>
  <c r="W45" i="3" s="1"/>
  <c r="X164" i="2"/>
  <c r="X166" i="2" s="1"/>
  <c r="X10" i="3" s="1"/>
  <c r="X11" i="3" s="1"/>
  <c r="W164" i="2"/>
  <c r="W166" i="2" s="1"/>
  <c r="W10" i="3" s="1"/>
  <c r="W11" i="3" s="1"/>
  <c r="X14" i="3" l="1"/>
  <c r="B19" i="4" s="1"/>
  <c r="B20" i="4" s="1"/>
  <c r="B22" i="4" s="1"/>
  <c r="B23" i="4" s="1"/>
  <c r="X36" i="4"/>
  <c r="W14" i="3"/>
  <c r="W36" i="4"/>
  <c r="G36" i="3" l="1"/>
  <c r="V9" i="4"/>
  <c r="K9" i="4"/>
  <c r="J195" i="2"/>
  <c r="J34" i="3"/>
  <c r="G194" i="2"/>
  <c r="G182" i="2"/>
  <c r="H62" i="3"/>
  <c r="T41" i="4"/>
  <c r="T17" i="3"/>
  <c r="O9" i="4"/>
  <c r="K38" i="4"/>
  <c r="F36" i="3"/>
  <c r="M181" i="2"/>
  <c r="M194" i="2"/>
  <c r="F62" i="3"/>
  <c r="H183" i="2"/>
  <c r="T36" i="3"/>
  <c r="J9" i="4"/>
  <c r="O36" i="3"/>
  <c r="O6" i="4"/>
  <c r="I183" i="2"/>
  <c r="W34" i="3"/>
  <c r="U195" i="2"/>
  <c r="W181" i="2"/>
  <c r="W194" i="2"/>
  <c r="Q183" i="2"/>
  <c r="I181" i="2"/>
  <c r="I194" i="2"/>
  <c r="M36" i="3"/>
  <c r="V195" i="2"/>
  <c r="R195" i="2"/>
  <c r="X38" i="4"/>
  <c r="E183" i="2"/>
  <c r="O194" i="2"/>
  <c r="O181" i="2"/>
  <c r="J17" i="3"/>
  <c r="L194" i="2"/>
  <c r="L181" i="2"/>
  <c r="U194" i="2"/>
  <c r="U181" i="2"/>
  <c r="G195" i="2"/>
  <c r="S183" i="2"/>
  <c r="B24" i="4"/>
  <c r="B17" i="8"/>
  <c r="E33" i="7"/>
  <c r="B31" i="4"/>
  <c r="T62" i="3"/>
  <c r="G41" i="4"/>
  <c r="M62" i="3"/>
  <c r="U41" i="4"/>
  <c r="E37" i="4"/>
  <c r="E38" i="4"/>
  <c r="R53" i="3"/>
  <c r="R63" i="3"/>
  <c r="I34" i="3"/>
  <c r="O41" i="4"/>
  <c r="X17" i="3"/>
  <c r="V181" i="2"/>
  <c r="V194" i="2"/>
  <c r="T6" i="4"/>
  <c r="T9" i="4"/>
  <c r="I171" i="2"/>
  <c r="I17" i="3"/>
  <c r="O183" i="2"/>
  <c r="J194" i="2"/>
  <c r="J181" i="2"/>
  <c r="R41" i="4"/>
  <c r="W57" i="3"/>
  <c r="W62" i="3"/>
  <c r="I41" i="4"/>
  <c r="P36" i="3"/>
  <c r="S181" i="2"/>
  <c r="S194" i="2"/>
  <c r="M183" i="2"/>
  <c r="R36" i="3"/>
  <c r="I38" i="4"/>
  <c r="E194" i="2"/>
  <c r="E182" i="2"/>
  <c r="E42" i="4"/>
  <c r="E195" i="2"/>
  <c r="P33" i="3"/>
  <c r="P34" i="3"/>
  <c r="X63" i="3"/>
  <c r="M57" i="3"/>
  <c r="P181" i="2"/>
  <c r="P194" i="2"/>
  <c r="K181" i="2"/>
  <c r="K194" i="2"/>
  <c r="H38" i="4"/>
  <c r="G42" i="4"/>
  <c r="G40" i="4"/>
  <c r="G183" i="2"/>
  <c r="H57" i="3"/>
  <c r="L36" i="3"/>
  <c r="M63" i="3"/>
  <c r="L38" i="4"/>
  <c r="P41" i="4"/>
  <c r="K17" i="3"/>
  <c r="L41" i="4"/>
  <c r="H41" i="4"/>
  <c r="L183" i="2"/>
  <c r="W36" i="3"/>
  <c r="V183" i="2"/>
  <c r="V42" i="4"/>
  <c r="W63" i="3"/>
  <c r="Q57" i="3"/>
  <c r="Q62" i="3"/>
  <c r="H194" i="2"/>
  <c r="H181" i="2"/>
  <c r="T183" i="2"/>
  <c r="M50" i="3"/>
  <c r="M51" i="3"/>
  <c r="M53" i="3"/>
  <c r="L168" i="2"/>
  <c r="L171" i="2"/>
  <c r="L17" i="3"/>
  <c r="V53" i="3"/>
  <c r="V63" i="3"/>
  <c r="N57" i="3"/>
  <c r="N62" i="3"/>
  <c r="F41" i="4"/>
  <c r="S41" i="4"/>
  <c r="S168" i="2"/>
  <c r="S171" i="2"/>
  <c r="S17" i="3"/>
  <c r="T51" i="3"/>
  <c r="T53" i="3"/>
  <c r="T63" i="3"/>
  <c r="J41" i="4"/>
  <c r="G6" i="4"/>
  <c r="G9" i="4"/>
  <c r="I168" i="2"/>
  <c r="W182" i="2"/>
  <c r="W187" i="2"/>
  <c r="W33" i="3"/>
  <c r="P6" i="4"/>
  <c r="P9" i="4"/>
  <c r="T194" i="2"/>
  <c r="T181" i="2"/>
  <c r="T50" i="3"/>
  <c r="R6" i="4"/>
  <c r="R9" i="4"/>
  <c r="L50" i="3"/>
  <c r="L51" i="3"/>
  <c r="L53" i="3"/>
  <c r="L63" i="3"/>
  <c r="I59" i="3"/>
  <c r="I37" i="4"/>
  <c r="E40" i="4"/>
  <c r="W53" i="3"/>
  <c r="T57" i="3"/>
  <c r="S36" i="3"/>
  <c r="B47" i="4"/>
  <c r="B12" i="8"/>
  <c r="V6" i="4"/>
  <c r="V36" i="3"/>
  <c r="V40" i="4"/>
  <c r="U17" i="3"/>
  <c r="H9" i="4"/>
  <c r="R38" i="4"/>
  <c r="R181" i="2"/>
  <c r="R194" i="2"/>
  <c r="F194" i="2"/>
  <c r="F182" i="2"/>
  <c r="X56" i="3"/>
  <c r="X57" i="3"/>
  <c r="X62" i="3"/>
  <c r="W6" i="4"/>
  <c r="W9" i="4"/>
  <c r="E59" i="3"/>
  <c r="V41" i="4"/>
  <c r="F46" i="4"/>
  <c r="X36" i="3"/>
  <c r="J182" i="2"/>
  <c r="J187" i="2"/>
  <c r="J33" i="3"/>
  <c r="W41" i="4"/>
  <c r="S182" i="2"/>
  <c r="S187" i="2"/>
  <c r="S33" i="3"/>
  <c r="S34" i="3"/>
  <c r="N41" i="4"/>
  <c r="R57" i="3"/>
  <c r="R62" i="3"/>
  <c r="X41" i="4"/>
  <c r="H59" i="3"/>
  <c r="H37" i="4"/>
  <c r="Q181" i="2"/>
  <c r="Q194" i="2"/>
  <c r="W50" i="3"/>
  <c r="W51" i="3"/>
  <c r="K183" i="2"/>
  <c r="H6" i="4"/>
  <c r="H36" i="3"/>
  <c r="E62" i="3"/>
  <c r="P63" i="3"/>
  <c r="M59" i="3"/>
  <c r="M37" i="4"/>
  <c r="M38" i="4"/>
  <c r="N53" i="3"/>
  <c r="N63" i="3"/>
  <c r="V182" i="2"/>
  <c r="V187" i="2"/>
  <c r="V33" i="3"/>
  <c r="V34" i="3"/>
  <c r="E41" i="4"/>
  <c r="J183" i="2"/>
  <c r="J42" i="4"/>
  <c r="F32" i="3"/>
  <c r="F34" i="3"/>
  <c r="X183" i="2"/>
  <c r="K33" i="3"/>
  <c r="K34" i="3"/>
  <c r="N59" i="3"/>
  <c r="N37" i="4"/>
  <c r="N38" i="4"/>
  <c r="K36" i="3"/>
  <c r="K6" i="4"/>
  <c r="O182" i="2"/>
  <c r="O187" i="2"/>
  <c r="O33" i="3"/>
  <c r="O34" i="3"/>
  <c r="Q17" i="3"/>
  <c r="K59" i="3"/>
  <c r="K37" i="4"/>
  <c r="S50" i="3"/>
  <c r="S51" i="3"/>
  <c r="S53" i="3"/>
  <c r="S63" i="3"/>
  <c r="E50" i="3"/>
  <c r="E51" i="3"/>
  <c r="E53" i="3"/>
  <c r="E63" i="3"/>
  <c r="L6" i="4"/>
  <c r="L9" i="4"/>
  <c r="F17" i="3"/>
  <c r="I36" i="3"/>
  <c r="U168" i="2"/>
  <c r="U171" i="2"/>
  <c r="G53" i="3"/>
  <c r="G63" i="3"/>
  <c r="V59" i="3"/>
  <c r="V37" i="4"/>
  <c r="V38" i="4"/>
  <c r="O59" i="3"/>
  <c r="O37" i="4"/>
  <c r="O38" i="4"/>
  <c r="K41" i="4"/>
  <c r="U36" i="3"/>
  <c r="M168" i="2"/>
  <c r="M171" i="2"/>
  <c r="M17" i="3"/>
  <c r="N36" i="3"/>
  <c r="P59" i="3"/>
  <c r="P37" i="4"/>
  <c r="P38" i="4"/>
  <c r="L16" i="3"/>
  <c r="L18" i="3"/>
  <c r="L23" i="3"/>
  <c r="L26" i="3"/>
  <c r="L40" i="4"/>
  <c r="L42" i="4"/>
  <c r="L195" i="2"/>
  <c r="G59" i="3"/>
  <c r="G37" i="4"/>
  <c r="G38" i="4"/>
  <c r="J40" i="4"/>
  <c r="J36" i="3"/>
  <c r="J6" i="4"/>
  <c r="X40" i="4"/>
  <c r="X42" i="4"/>
  <c r="X195" i="2"/>
  <c r="S169" i="2"/>
  <c r="T169" i="2"/>
  <c r="U169" i="2"/>
  <c r="V169" i="2"/>
  <c r="W169" i="2"/>
  <c r="X169" i="2"/>
  <c r="V50" i="3"/>
  <c r="V51" i="3"/>
  <c r="O168" i="2"/>
  <c r="O171" i="2"/>
  <c r="O17" i="3"/>
  <c r="J38" i="4"/>
  <c r="W183" i="2"/>
  <c r="T182" i="2"/>
  <c r="T187" i="2"/>
  <c r="T33" i="3"/>
  <c r="T34" i="3"/>
  <c r="F181" i="2"/>
  <c r="F186" i="2"/>
  <c r="E57" i="3"/>
  <c r="P57" i="3"/>
  <c r="P62" i="3"/>
  <c r="L59" i="3"/>
  <c r="L37" i="4"/>
  <c r="Q41" i="4"/>
  <c r="N6" i="4"/>
  <c r="N9" i="4"/>
  <c r="J59" i="3"/>
  <c r="J37" i="4"/>
  <c r="T40" i="4"/>
  <c r="T42" i="4"/>
  <c r="T195" i="2"/>
  <c r="X168" i="2"/>
  <c r="X171" i="2"/>
  <c r="E46" i="4"/>
  <c r="B46" i="4"/>
  <c r="L182" i="2"/>
  <c r="L187" i="2"/>
  <c r="L33" i="3"/>
  <c r="L34" i="3"/>
  <c r="M40" i="4"/>
  <c r="M42" i="4"/>
  <c r="M195" i="2"/>
  <c r="Q36" i="3"/>
  <c r="J50" i="3"/>
  <c r="J51" i="3"/>
  <c r="J53" i="3"/>
  <c r="J63" i="3"/>
  <c r="R182" i="2"/>
  <c r="R187" i="2"/>
  <c r="R33" i="3"/>
  <c r="R34" i="3"/>
  <c r="X187" i="2"/>
  <c r="X33" i="3"/>
  <c r="X34" i="3"/>
  <c r="R50" i="3"/>
  <c r="R51" i="3"/>
  <c r="S37" i="4"/>
  <c r="S38" i="4"/>
  <c r="E32" i="3"/>
  <c r="E34" i="3"/>
  <c r="F50" i="3"/>
  <c r="F51" i="3"/>
  <c r="F53" i="3"/>
  <c r="F63" i="3"/>
  <c r="N181" i="2"/>
  <c r="N194" i="2"/>
  <c r="U183" i="2"/>
  <c r="U40" i="4"/>
  <c r="U42" i="4"/>
  <c r="M6" i="4"/>
  <c r="M9" i="4"/>
  <c r="S6" i="4"/>
  <c r="S9" i="4"/>
  <c r="T18" i="3"/>
  <c r="T23" i="3"/>
  <c r="T26" i="3"/>
  <c r="W18" i="3"/>
  <c r="W23" i="3"/>
  <c r="W26" i="3"/>
  <c r="W40" i="4"/>
  <c r="W42" i="4"/>
  <c r="W195" i="2"/>
  <c r="I182" i="2"/>
  <c r="I187" i="2"/>
  <c r="I33" i="3"/>
  <c r="G18" i="3"/>
  <c r="G23" i="3"/>
  <c r="G26" i="3"/>
  <c r="T191" i="2"/>
  <c r="T15" i="3"/>
  <c r="T16" i="3"/>
  <c r="T168" i="2"/>
  <c r="T171" i="2"/>
  <c r="L169" i="2"/>
  <c r="M169" i="2"/>
  <c r="N169" i="2"/>
  <c r="O169" i="2"/>
  <c r="P169" i="2"/>
  <c r="Q169" i="2"/>
  <c r="R169" i="2"/>
  <c r="F57" i="3"/>
  <c r="T59" i="3"/>
  <c r="T37" i="4"/>
  <c r="T38" i="4"/>
  <c r="N195" i="2"/>
  <c r="M41" i="4"/>
  <c r="Q168" i="2"/>
  <c r="Q171" i="2"/>
  <c r="P53" i="3"/>
  <c r="K53" i="3"/>
  <c r="K63" i="3"/>
  <c r="B12" i="4"/>
  <c r="X53" i="3"/>
  <c r="B15" i="4"/>
  <c r="B16" i="4"/>
  <c r="B17" i="4"/>
  <c r="K26" i="3"/>
  <c r="K40" i="4"/>
  <c r="K42" i="4"/>
  <c r="K195" i="2"/>
  <c r="O40" i="4"/>
  <c r="O42" i="4"/>
  <c r="O195" i="2"/>
  <c r="F59" i="3"/>
  <c r="F37" i="4"/>
  <c r="F38" i="4"/>
  <c r="F168" i="2"/>
  <c r="F171" i="2"/>
  <c r="N42" i="4"/>
  <c r="N18" i="3"/>
  <c r="N23" i="3"/>
  <c r="N26" i="3"/>
  <c r="N40" i="4"/>
  <c r="N183" i="2"/>
  <c r="G46" i="4"/>
  <c r="M182" i="2"/>
  <c r="M187" i="2"/>
  <c r="M33" i="3"/>
  <c r="M34" i="3"/>
  <c r="O57" i="3"/>
  <c r="O62" i="3"/>
  <c r="J62" i="3"/>
  <c r="Q50" i="3"/>
  <c r="Q51" i="3"/>
  <c r="Q53" i="3"/>
  <c r="Q63" i="3"/>
  <c r="J57" i="3"/>
  <c r="G50" i="3"/>
  <c r="G51" i="3"/>
  <c r="I40" i="4"/>
  <c r="I42" i="4"/>
  <c r="I195" i="2"/>
  <c r="F183" i="2"/>
  <c r="Q10" i="4"/>
  <c r="R10" i="4"/>
  <c r="S10" i="4"/>
  <c r="T10" i="4"/>
  <c r="U10" i="4"/>
  <c r="V10" i="4"/>
  <c r="W10" i="4"/>
  <c r="X10" i="4"/>
  <c r="K50" i="3"/>
  <c r="K51" i="3"/>
  <c r="X182" i="2"/>
  <c r="X194" i="2"/>
  <c r="X181" i="2"/>
  <c r="R168" i="2"/>
  <c r="R171" i="2"/>
  <c r="R17" i="3"/>
  <c r="K168" i="2"/>
  <c r="K171" i="2"/>
  <c r="P50" i="3"/>
  <c r="P51" i="3"/>
  <c r="H182" i="2"/>
  <c r="H187" i="2"/>
  <c r="H33" i="3"/>
  <c r="H34" i="3"/>
  <c r="P168" i="2"/>
  <c r="P171" i="2"/>
  <c r="P17" i="3"/>
  <c r="Q40" i="4"/>
  <c r="Q42" i="4"/>
  <c r="Q195" i="2"/>
  <c r="R59" i="3"/>
  <c r="R37" i="4"/>
  <c r="F40" i="4"/>
  <c r="F42" i="4"/>
  <c r="F195" i="2"/>
  <c r="H168" i="2"/>
  <c r="H171" i="2"/>
  <c r="H17" i="3"/>
  <c r="I50" i="3"/>
  <c r="I51" i="3"/>
  <c r="I53" i="3"/>
  <c r="I63" i="3"/>
  <c r="N182" i="2"/>
  <c r="N187" i="2"/>
  <c r="N33" i="3"/>
  <c r="N34" i="3"/>
  <c r="R183" i="2"/>
  <c r="R40" i="4"/>
  <c r="R42" i="4"/>
  <c r="S40" i="4"/>
  <c r="S42" i="4"/>
  <c r="S195" i="2"/>
  <c r="W56" i="3"/>
  <c r="S26" i="3"/>
  <c r="G181" i="2"/>
  <c r="G186" i="2"/>
  <c r="G32" i="3"/>
  <c r="G34" i="3"/>
  <c r="E171" i="2"/>
  <c r="E17" i="3"/>
  <c r="P183" i="2"/>
  <c r="Q34" i="3"/>
  <c r="V17" i="3"/>
  <c r="W59" i="3"/>
  <c r="W37" i="4"/>
  <c r="W38" i="4"/>
  <c r="O191" i="2"/>
  <c r="O15" i="3"/>
  <c r="O16" i="3"/>
  <c r="O18" i="3"/>
  <c r="O23" i="3"/>
  <c r="O26" i="3"/>
  <c r="V56" i="3"/>
  <c r="V57" i="3"/>
  <c r="V62" i="3"/>
  <c r="S191" i="2"/>
  <c r="S15" i="3"/>
  <c r="S16" i="3"/>
  <c r="S18" i="3"/>
  <c r="S23" i="3"/>
  <c r="T56" i="3"/>
  <c r="U56" i="3"/>
  <c r="U57" i="3"/>
  <c r="U62" i="3"/>
  <c r="L57" i="3"/>
  <c r="L62" i="3"/>
  <c r="V18" i="3"/>
  <c r="V23" i="3"/>
  <c r="V26" i="3"/>
  <c r="B13" i="4"/>
  <c r="B18" i="8"/>
  <c r="S59" i="3"/>
  <c r="H50" i="3"/>
  <c r="H51" i="3"/>
  <c r="H53" i="3"/>
  <c r="H63" i="3"/>
  <c r="O50" i="3"/>
  <c r="O51" i="3"/>
  <c r="O53" i="3"/>
  <c r="O63" i="3"/>
  <c r="U191" i="2"/>
  <c r="U15" i="3"/>
  <c r="U16" i="3"/>
  <c r="U18" i="3"/>
  <c r="U23" i="3"/>
  <c r="U26" i="3"/>
  <c r="U6" i="4"/>
  <c r="U9" i="4"/>
  <c r="I191" i="2"/>
  <c r="I15" i="3"/>
  <c r="I16" i="3"/>
  <c r="I18" i="3"/>
  <c r="I23" i="3"/>
  <c r="I26" i="3"/>
  <c r="I6" i="4"/>
  <c r="I9" i="4"/>
  <c r="U182" i="2"/>
  <c r="U187" i="2"/>
  <c r="U33" i="3"/>
  <c r="U34" i="3"/>
  <c r="Q59" i="3"/>
  <c r="Q37" i="4"/>
  <c r="Q38" i="4"/>
  <c r="X23" i="3"/>
  <c r="X26" i="3"/>
  <c r="X6" i="4"/>
  <c r="X9" i="4"/>
  <c r="H191" i="2"/>
  <c r="H15" i="3"/>
  <c r="H16" i="3"/>
  <c r="H18" i="3"/>
  <c r="H23" i="3"/>
  <c r="H26" i="3"/>
  <c r="H40" i="4"/>
  <c r="H42" i="4"/>
  <c r="H195" i="2"/>
  <c r="J168" i="2"/>
  <c r="J171" i="2"/>
  <c r="X191" i="2"/>
  <c r="X15" i="3"/>
  <c r="X16" i="3"/>
  <c r="X18" i="3"/>
  <c r="B26" i="4"/>
  <c r="B27" i="4"/>
  <c r="B29" i="4"/>
  <c r="B30" i="4"/>
  <c r="J169" i="2"/>
  <c r="K169" i="2"/>
  <c r="I57" i="3"/>
  <c r="I62" i="3"/>
  <c r="J191" i="2"/>
  <c r="J15" i="3"/>
  <c r="J16" i="3"/>
  <c r="J18" i="3"/>
  <c r="J23" i="3"/>
  <c r="J26" i="3"/>
  <c r="N191" i="2"/>
  <c r="N15" i="3"/>
  <c r="N16" i="3"/>
  <c r="N168" i="2"/>
  <c r="N171" i="2"/>
  <c r="N17" i="3"/>
  <c r="L56" i="3"/>
  <c r="M56" i="3"/>
  <c r="N56" i="3"/>
  <c r="O56" i="3"/>
  <c r="P56" i="3"/>
  <c r="Q56" i="3"/>
  <c r="R56" i="3"/>
  <c r="S56" i="3"/>
  <c r="S57" i="3"/>
  <c r="S62" i="3"/>
  <c r="N50" i="3"/>
  <c r="N51" i="3"/>
  <c r="E168" i="2"/>
  <c r="E169" i="2"/>
  <c r="F169" i="2"/>
  <c r="G169" i="2"/>
  <c r="H169" i="2"/>
  <c r="I169" i="2"/>
  <c r="P26" i="3"/>
  <c r="P40" i="4"/>
  <c r="P42" i="4"/>
  <c r="P195" i="2"/>
  <c r="X50" i="3"/>
  <c r="X51" i="3"/>
  <c r="K182" i="2"/>
  <c r="K187" i="2"/>
  <c r="G10" i="4"/>
  <c r="H10" i="4"/>
  <c r="I10" i="4"/>
  <c r="J10" i="4"/>
  <c r="K10" i="4"/>
  <c r="L10" i="4"/>
  <c r="M10" i="4"/>
  <c r="N10" i="4"/>
  <c r="O10" i="4"/>
  <c r="P10" i="4"/>
  <c r="R191" i="2"/>
  <c r="R15" i="3"/>
  <c r="R16" i="3"/>
  <c r="R18" i="3"/>
  <c r="R23" i="3"/>
  <c r="R26" i="3"/>
  <c r="W191" i="2"/>
  <c r="W15" i="3"/>
  <c r="W16" i="3"/>
  <c r="W168" i="2"/>
  <c r="W171" i="2"/>
  <c r="W17" i="3"/>
  <c r="V37" i="3"/>
  <c r="V38" i="3"/>
  <c r="W37" i="3"/>
  <c r="W38" i="3"/>
  <c r="X37" i="3"/>
  <c r="X38" i="3"/>
  <c r="E6" i="4"/>
  <c r="E9" i="4"/>
  <c r="E10" i="4"/>
  <c r="F10" i="4"/>
  <c r="R37" i="3"/>
  <c r="R38" i="3"/>
  <c r="S37" i="3"/>
  <c r="S38" i="3"/>
  <c r="T37" i="3"/>
  <c r="T38" i="3"/>
  <c r="U37" i="3"/>
  <c r="U38" i="3"/>
  <c r="U50" i="3"/>
  <c r="U51" i="3"/>
  <c r="U53" i="3"/>
  <c r="U63" i="3"/>
  <c r="H56" i="3"/>
  <c r="I56" i="3"/>
  <c r="J56" i="3"/>
  <c r="K56" i="3"/>
  <c r="K57" i="3"/>
  <c r="K62" i="3"/>
  <c r="L191" i="2"/>
  <c r="L15" i="3"/>
  <c r="Q37" i="3"/>
  <c r="Q38" i="3"/>
  <c r="Q182" i="2"/>
  <c r="Q187" i="2"/>
  <c r="Q33" i="3"/>
  <c r="F191" i="2"/>
  <c r="F15" i="3"/>
  <c r="F16" i="3"/>
  <c r="F18" i="3"/>
  <c r="F23" i="3"/>
  <c r="F26" i="3"/>
  <c r="F6" i="4"/>
  <c r="F9" i="4"/>
  <c r="M191" i="2"/>
  <c r="M15" i="3"/>
  <c r="M16" i="3"/>
  <c r="M18" i="3"/>
  <c r="M23" i="3"/>
  <c r="M26" i="3"/>
  <c r="E56" i="3"/>
  <c r="F56" i="3"/>
  <c r="G56" i="3"/>
  <c r="G57" i="3"/>
  <c r="G62" i="3"/>
  <c r="Q191" i="2"/>
  <c r="Q15" i="3"/>
  <c r="Q16" i="3"/>
  <c r="Q18" i="3"/>
  <c r="Q23" i="3"/>
  <c r="Q26" i="3"/>
  <c r="Q6" i="4"/>
  <c r="Q9" i="4"/>
  <c r="G191" i="2"/>
  <c r="G15" i="3"/>
  <c r="G16" i="3"/>
  <c r="G168" i="2"/>
  <c r="G171" i="2"/>
  <c r="G17" i="3"/>
  <c r="P191" i="2"/>
  <c r="P15" i="3"/>
  <c r="P16" i="3"/>
  <c r="P18" i="3"/>
  <c r="P23" i="3"/>
  <c r="K191" i="2"/>
  <c r="K15" i="3"/>
  <c r="K16" i="3"/>
  <c r="K18" i="3"/>
  <c r="K23" i="3"/>
  <c r="F37" i="3"/>
  <c r="F38" i="3"/>
  <c r="G37" i="3"/>
  <c r="G38" i="3"/>
  <c r="H37" i="3"/>
  <c r="H38" i="3"/>
  <c r="I37" i="3"/>
  <c r="I38" i="3"/>
  <c r="J37" i="3"/>
  <c r="J38" i="3"/>
  <c r="K37" i="3"/>
  <c r="K38" i="3"/>
  <c r="L37" i="3"/>
  <c r="L38" i="3"/>
  <c r="M37" i="3"/>
  <c r="M38" i="3"/>
  <c r="N37" i="3"/>
  <c r="N38" i="3"/>
  <c r="O37" i="3"/>
  <c r="O38" i="3"/>
  <c r="P37" i="3"/>
  <c r="P38" i="3"/>
  <c r="P182" i="2"/>
  <c r="P187" i="2"/>
  <c r="U59" i="3"/>
  <c r="U37" i="4"/>
  <c r="U38" i="4"/>
  <c r="V191" i="2"/>
  <c r="V15" i="3"/>
  <c r="V16" i="3"/>
  <c r="V168" i="2"/>
  <c r="V171" i="2"/>
  <c r="E191" i="2"/>
  <c r="E15" i="3"/>
  <c r="E16" i="3"/>
  <c r="E18" i="3"/>
  <c r="E23" i="3"/>
  <c r="E26" i="3"/>
  <c r="E36" i="3"/>
  <c r="E38" i="3"/>
  <c r="E181" i="2"/>
  <c r="E186" i="2"/>
  <c r="E188" i="2"/>
  <c r="E189" i="2"/>
  <c r="F188" i="2"/>
  <c r="F189" i="2"/>
  <c r="G188" i="2"/>
  <c r="G189" i="2"/>
  <c r="H188" i="2"/>
  <c r="H189" i="2"/>
  <c r="I188" i="2"/>
  <c r="I189" i="2"/>
  <c r="J188" i="2"/>
  <c r="J189" i="2"/>
  <c r="K188" i="2"/>
  <c r="K189" i="2"/>
  <c r="L188" i="2"/>
  <c r="L189" i="2"/>
  <c r="M188" i="2"/>
  <c r="M189" i="2"/>
  <c r="N188" i="2"/>
  <c r="N189" i="2"/>
  <c r="O188" i="2"/>
  <c r="O189" i="2"/>
  <c r="P188" i="2"/>
  <c r="P189" i="2"/>
  <c r="Q188" i="2"/>
  <c r="Q189" i="2"/>
  <c r="R188" i="2"/>
  <c r="R189" i="2"/>
  <c r="S188" i="2"/>
  <c r="S189" i="2"/>
  <c r="T188" i="2"/>
  <c r="T189" i="2"/>
  <c r="U188" i="2"/>
  <c r="U189" i="2"/>
  <c r="V188" i="2"/>
  <c r="V189" i="2"/>
  <c r="W188" i="2"/>
  <c r="W189" i="2"/>
  <c r="X188" i="2"/>
  <c r="X189" i="2"/>
  <c r="X59" i="3"/>
  <c r="X37" i="4"/>
</calcChain>
</file>

<file path=xl/sharedStrings.xml><?xml version="1.0" encoding="utf-8"?>
<sst xmlns="http://schemas.openxmlformats.org/spreadsheetml/2006/main" count="385" uniqueCount="257">
  <si>
    <t>Planning Step</t>
  </si>
  <si>
    <t>Period Number</t>
  </si>
  <si>
    <t>Begin Date</t>
  </si>
  <si>
    <t>End Date</t>
  </si>
  <si>
    <t xml:space="preserve">Start Date </t>
  </si>
  <si>
    <t>Period Title</t>
  </si>
  <si>
    <t>SETTINGS  AND MACRO</t>
  </si>
  <si>
    <t>PROJECT ASSUMPTIONS</t>
  </si>
  <si>
    <t>FINANCIAL ANALYSIS</t>
  </si>
  <si>
    <t>FINANCIAL REPORTS</t>
  </si>
  <si>
    <t>mon</t>
  </si>
  <si>
    <t>Rub '000'</t>
  </si>
  <si>
    <t>Currency Name</t>
  </si>
  <si>
    <t xml:space="preserve">Inflation, Annual </t>
  </si>
  <si>
    <t>%</t>
  </si>
  <si>
    <t>Price Index to the Previous Period</t>
  </si>
  <si>
    <t>Price Index to the Beginning of Period</t>
  </si>
  <si>
    <t>times</t>
  </si>
  <si>
    <t>Property Tax Rate</t>
  </si>
  <si>
    <t>Income Tax Rate</t>
  </si>
  <si>
    <t>Social Insurance Payment Rate</t>
  </si>
  <si>
    <t>CURRENCY AND INFLATION</t>
  </si>
  <si>
    <t>TAX RATES</t>
  </si>
  <si>
    <t>SALES</t>
  </si>
  <si>
    <t>Capacity Utilization Rate</t>
  </si>
  <si>
    <t>Carmel Candies</t>
  </si>
  <si>
    <t>Capacity / Utilization Rate</t>
  </si>
  <si>
    <t>tons</t>
  </si>
  <si>
    <t>Unit Sales</t>
  </si>
  <si>
    <t>Unit Sales per ton</t>
  </si>
  <si>
    <t>Sales</t>
  </si>
  <si>
    <t>Nugat / Fruit bars</t>
  </si>
  <si>
    <t>Total:</t>
  </si>
  <si>
    <t>Revenue in the income statement</t>
  </si>
  <si>
    <t>RAW MATERIALS</t>
  </si>
  <si>
    <t>Caramel Candies</t>
  </si>
  <si>
    <t>Sugar</t>
  </si>
  <si>
    <t>Usage per ton</t>
  </si>
  <si>
    <t>Price Per ton</t>
  </si>
  <si>
    <t>Cost</t>
  </si>
  <si>
    <t>Glucose Syrup</t>
  </si>
  <si>
    <t>Color and Flovour Additives</t>
  </si>
  <si>
    <t>$</t>
  </si>
  <si>
    <t>Glaze</t>
  </si>
  <si>
    <t>Fillings (nuts etc.)</t>
  </si>
  <si>
    <t xml:space="preserve"> </t>
  </si>
  <si>
    <t>Raw Material in the income Statement</t>
  </si>
  <si>
    <t>OPERATING EXPENSES</t>
  </si>
  <si>
    <t>Production Expenses</t>
  </si>
  <si>
    <t>Expense Rate</t>
  </si>
  <si>
    <t>Rent of the Manufacturing building</t>
  </si>
  <si>
    <t>Repairs and maintance</t>
  </si>
  <si>
    <t>Utility</t>
  </si>
  <si>
    <t>Energy</t>
  </si>
  <si>
    <t>Other</t>
  </si>
  <si>
    <t>Commercial Expenses</t>
  </si>
  <si>
    <t>Advertising</t>
  </si>
  <si>
    <t>Logistics</t>
  </si>
  <si>
    <t>per ton</t>
  </si>
  <si>
    <t>Administration Expenses</t>
  </si>
  <si>
    <t>Office Expense</t>
  </si>
  <si>
    <t>Other Administration Expense</t>
  </si>
  <si>
    <t>IT and Communication</t>
  </si>
  <si>
    <t xml:space="preserve">Total: </t>
  </si>
  <si>
    <t>Total Operating Expenses</t>
  </si>
  <si>
    <t>PERSONNEL</t>
  </si>
  <si>
    <t xml:space="preserve">Production Personnel </t>
  </si>
  <si>
    <t>Carmel Candies line</t>
  </si>
  <si>
    <t>person</t>
  </si>
  <si>
    <t>salary: Per month and total cost</t>
  </si>
  <si>
    <t>P</t>
  </si>
  <si>
    <t>Naugat line</t>
  </si>
  <si>
    <t>Technology and maintainence</t>
  </si>
  <si>
    <t>Other Production Staff</t>
  </si>
  <si>
    <t>Commercial Personnel</t>
  </si>
  <si>
    <t>Logistcis</t>
  </si>
  <si>
    <t>C</t>
  </si>
  <si>
    <t>Management</t>
  </si>
  <si>
    <t>Accounting and Planning</t>
  </si>
  <si>
    <t>Security</t>
  </si>
  <si>
    <t>A</t>
  </si>
  <si>
    <t>Salaries of Production Staff</t>
  </si>
  <si>
    <t>Salaries of Commercial Staff</t>
  </si>
  <si>
    <t>Salaries of administrative Staff</t>
  </si>
  <si>
    <t>Social Insurance</t>
  </si>
  <si>
    <t>Total Salary and Wages Expesne</t>
  </si>
  <si>
    <t>Caramel Candies Production line</t>
  </si>
  <si>
    <t>Nougat production line</t>
  </si>
  <si>
    <t>Other equipment and transport</t>
  </si>
  <si>
    <t>Total</t>
  </si>
  <si>
    <t>Total CAPEX</t>
  </si>
  <si>
    <t>Recognise as fixed assets from period</t>
  </si>
  <si>
    <t>Investement in Progress</t>
  </si>
  <si>
    <t>Gross Book Value</t>
  </si>
  <si>
    <t>Depriciation ( term in years)</t>
  </si>
  <si>
    <t>Accumulated Depriciation</t>
  </si>
  <si>
    <t>Net book value</t>
  </si>
  <si>
    <t>CAPEX</t>
  </si>
  <si>
    <t>Pent &amp; WasteCoat</t>
  </si>
  <si>
    <t>Bike Expense</t>
  </si>
  <si>
    <t>Tunning</t>
  </si>
  <si>
    <t>Seat Cover</t>
  </si>
  <si>
    <t>Cake</t>
  </si>
  <si>
    <t>Working Capital</t>
  </si>
  <si>
    <t>Raw material and Commponents</t>
  </si>
  <si>
    <t>Finished goods</t>
  </si>
  <si>
    <t>Account Paybale to Supplies</t>
  </si>
  <si>
    <t>Accounts Receivable</t>
  </si>
  <si>
    <t>Days</t>
  </si>
  <si>
    <t>Net Working Capital</t>
  </si>
  <si>
    <t>Change in Net working Capital</t>
  </si>
  <si>
    <t>INCOME STATEMENT</t>
  </si>
  <si>
    <t>Revenue</t>
  </si>
  <si>
    <t>Raw Materials</t>
  </si>
  <si>
    <t>Operating Expense</t>
  </si>
  <si>
    <t>Wages Expenses</t>
  </si>
  <si>
    <t>Property Tax</t>
  </si>
  <si>
    <t>EBITDA</t>
  </si>
  <si>
    <t>Depriciation</t>
  </si>
  <si>
    <t>EBIT</t>
  </si>
  <si>
    <t>Interst Expense</t>
  </si>
  <si>
    <t>Income before Tax</t>
  </si>
  <si>
    <t>Income Tax</t>
  </si>
  <si>
    <t>Net Income</t>
  </si>
  <si>
    <t>Tax Payments</t>
  </si>
  <si>
    <t>Fixed Assets</t>
  </si>
  <si>
    <t>Taxable Profit</t>
  </si>
  <si>
    <t>Perior Period Losses</t>
  </si>
  <si>
    <t>Tax rate</t>
  </si>
  <si>
    <t>Interest Rate</t>
  </si>
  <si>
    <t>Number of Periods</t>
  </si>
  <si>
    <t>Starting Amount</t>
  </si>
  <si>
    <t>CASH FLOW STATEMENT</t>
  </si>
  <si>
    <t>Depreciation</t>
  </si>
  <si>
    <t>Change in net working capital</t>
  </si>
  <si>
    <t>Cash flow from operating activities</t>
  </si>
  <si>
    <t>Cash paid for equipment</t>
  </si>
  <si>
    <t>Cash flow from investing activities</t>
  </si>
  <si>
    <t>Equity inflow</t>
  </si>
  <si>
    <t>Proceeds from borrowing</t>
  </si>
  <si>
    <t>Repayment of debt</t>
  </si>
  <si>
    <t>Cash flow from financing activities</t>
  </si>
  <si>
    <t>Change in Cash</t>
  </si>
  <si>
    <t>Cash at the beginning of the period</t>
  </si>
  <si>
    <t>Cash at the end of the period</t>
  </si>
  <si>
    <t>BALANCE SHEET</t>
  </si>
  <si>
    <t>Equipment and other asstes</t>
  </si>
  <si>
    <t>Capital work in progress</t>
  </si>
  <si>
    <t>Total fixed assets</t>
  </si>
  <si>
    <t>Raw material and commponents</t>
  </si>
  <si>
    <t>Account receivable</t>
  </si>
  <si>
    <t>Cash</t>
  </si>
  <si>
    <t>Total current assets</t>
  </si>
  <si>
    <t>TOTAL ASSETS</t>
  </si>
  <si>
    <t>Owner's equity</t>
  </si>
  <si>
    <t>Retained ernings</t>
  </si>
  <si>
    <t>Total equity</t>
  </si>
  <si>
    <t>Loans</t>
  </si>
  <si>
    <t>Accounts Payable</t>
  </si>
  <si>
    <t>TOTAL LIABLITIES AND EQUITY</t>
  </si>
  <si>
    <t>Check</t>
  </si>
  <si>
    <t>FINANCING</t>
  </si>
  <si>
    <t>Owner's contribution</t>
  </si>
  <si>
    <t>Shareholder's capital</t>
  </si>
  <si>
    <t>Investment loan</t>
  </si>
  <si>
    <t>Proceeds from loan disbursment</t>
  </si>
  <si>
    <t>Repayment of principal</t>
  </si>
  <si>
    <t>outstandimg debt at the beginning of period</t>
  </si>
  <si>
    <t>outstandimg debt at the end of period</t>
  </si>
  <si>
    <t>Interest rate</t>
  </si>
  <si>
    <t>Interest expense</t>
  </si>
  <si>
    <t>Cash flow status:</t>
  </si>
  <si>
    <t>Cash at the end of period</t>
  </si>
  <si>
    <t>DEBT RATIO</t>
  </si>
  <si>
    <t>Total debt ,TD</t>
  </si>
  <si>
    <t>TD/EBITDA</t>
  </si>
  <si>
    <t>Times</t>
  </si>
  <si>
    <t>CFADS</t>
  </si>
  <si>
    <t>Interest and repayment of debt</t>
  </si>
  <si>
    <t>Debt service coverage ratio</t>
  </si>
  <si>
    <t xml:space="preserve">Required DSCR </t>
  </si>
  <si>
    <t>DSCR</t>
  </si>
  <si>
    <t>Issue of equity</t>
  </si>
  <si>
    <t>Issue of debt</t>
  </si>
  <si>
    <t>Equity sahre in capital</t>
  </si>
  <si>
    <t>required debt</t>
  </si>
  <si>
    <t>cash available for repayment</t>
  </si>
  <si>
    <t>max repayment based on DSCR</t>
  </si>
  <si>
    <t>Debt Sculpting:</t>
  </si>
  <si>
    <t>Proceeds(0) or repayment (1)</t>
  </si>
  <si>
    <t>FCFE</t>
  </si>
  <si>
    <t>Annual discount rate</t>
  </si>
  <si>
    <t>Discount index</t>
  </si>
  <si>
    <t>Discounted cash flow</t>
  </si>
  <si>
    <t>Accumulated discounted cash flow</t>
  </si>
  <si>
    <t>Net present value , NPV</t>
  </si>
  <si>
    <t>Internal rate of return, IRR</t>
  </si>
  <si>
    <t>Payback Period</t>
  </si>
  <si>
    <t>Quarterly Sales</t>
  </si>
  <si>
    <t>Net assets</t>
  </si>
  <si>
    <t>Discounted net assets</t>
  </si>
  <si>
    <t>NPV + TV ( Liquidation)</t>
  </si>
  <si>
    <t>NOPLAT in the last period</t>
  </si>
  <si>
    <t>Annual NOPLAT</t>
  </si>
  <si>
    <t>Long term growth rate</t>
  </si>
  <si>
    <t>Discounted terminal value</t>
  </si>
  <si>
    <t>Terminal value</t>
  </si>
  <si>
    <t>NPV +TV (Constant growth)</t>
  </si>
  <si>
    <t>Net income in the last period</t>
  </si>
  <si>
    <t>Annual net income</t>
  </si>
  <si>
    <t>P/E for the terminal value</t>
  </si>
  <si>
    <t>NPV + TV (multiple)</t>
  </si>
  <si>
    <t>SCENARIO ANALYSIS</t>
  </si>
  <si>
    <t>SCENARIO DATA</t>
  </si>
  <si>
    <t xml:space="preserve">Base case </t>
  </si>
  <si>
    <t>Carmel candies: capacity / utilization</t>
  </si>
  <si>
    <t>Nougat: capacity / utilization</t>
  </si>
  <si>
    <t>Slow growth</t>
  </si>
  <si>
    <t>Low demand</t>
  </si>
  <si>
    <t>Current scenario</t>
  </si>
  <si>
    <t xml:space="preserve">CURRENT SCENARIO </t>
  </si>
  <si>
    <t>SENSITIVITY TABLE</t>
  </si>
  <si>
    <t>Price of caramel candies</t>
  </si>
  <si>
    <t>Loan interets rate</t>
  </si>
  <si>
    <t>Net present value of equity</t>
  </si>
  <si>
    <t>EXECUTIVE SUMMARY</t>
  </si>
  <si>
    <t>Investments</t>
  </si>
  <si>
    <t>Debt</t>
  </si>
  <si>
    <t>Equity</t>
  </si>
  <si>
    <t>Profitablity</t>
  </si>
  <si>
    <t>Discount rate</t>
  </si>
  <si>
    <t>NPV</t>
  </si>
  <si>
    <t>IRR</t>
  </si>
  <si>
    <t>Pay-back chart</t>
  </si>
  <si>
    <t>Project Title</t>
  </si>
  <si>
    <t>Table of contant</t>
  </si>
  <si>
    <t>Summary</t>
  </si>
  <si>
    <t>Macro</t>
  </si>
  <si>
    <t>Assumptions</t>
  </si>
  <si>
    <t>Reports</t>
  </si>
  <si>
    <t>Charts</t>
  </si>
  <si>
    <t>Scenarios</t>
  </si>
  <si>
    <t>Color coding</t>
  </si>
  <si>
    <t xml:space="preserve">Input cells </t>
  </si>
  <si>
    <t>Calculated cells</t>
  </si>
  <si>
    <t>Executive summary</t>
  </si>
  <si>
    <t>Dates, inflations, tax rate</t>
  </si>
  <si>
    <t>All project assumptions</t>
  </si>
  <si>
    <t>Income statement, cash flow statement, balance sheet</t>
  </si>
  <si>
    <t>Chart and diagrams</t>
  </si>
  <si>
    <t>Data for scenario and senstivity tables</t>
  </si>
  <si>
    <t>Analysis</t>
  </si>
  <si>
    <t>DCF, NPV,IRR, Debt ratio</t>
  </si>
  <si>
    <t>Author and contacts</t>
  </si>
  <si>
    <t>Ahtsham Murslee , ahtsham.mursleen@gmail.com</t>
  </si>
  <si>
    <t>Khushhali Bank</t>
  </si>
  <si>
    <t>Ahtsham Confectionary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</si>
</sst>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Rs&quot;#,##0.00;[Red]\-&quot;Rs&quot;#,##0.00"/>
    <numFmt numFmtId="43" formatCode="_-* #,##0.00_-;\-* #,##0.00_-;_-* &quot;-&quot;??_-;_-@_-"/>
    <numFmt numFmtId="164" formatCode="0.0%"/>
    <numFmt numFmtId="165" formatCode="_-* #,##0.000_-;\-* #,##0.000_-;_-* &quot;-&quot;??_-;_-@_-"/>
    <numFmt numFmtId="166" formatCode="_-* #,##0_-;\-* #,##0_-;_-* &quot;-&quot;??_-;_-@_-"/>
    <numFmt numFmtId="167" formatCode="0.0"/>
    <numFmt numFmtId="168" formatCode="0.000"/>
    <numFmt numFmtId="169" formatCode="_-* #,##0.0_-;\-* #,##0.0_-;_-* &quot;-&quot;??_-;_-@_-"/>
    <numFmt numFmtId="170" formatCode="#,##0_ ;\-#,##0\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0" borderId="0" applyNumberFormat="0" applyBorder="0" applyAlignment="0">
      <protection locked="0"/>
    </xf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1">
      <protection locked="0"/>
    </xf>
    <xf numFmtId="14" fontId="2" fillId="0" borderId="0" xfId="1" applyNumberFormat="1">
      <protection locked="0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164" fontId="2" fillId="0" borderId="0" xfId="1" applyNumberFormat="1">
      <protection locked="0"/>
    </xf>
    <xf numFmtId="2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1" applyAlignment="1">
      <alignment horizontal="center"/>
      <protection locked="0"/>
    </xf>
    <xf numFmtId="9" fontId="0" fillId="0" borderId="0" xfId="0" applyNumberFormat="1"/>
    <xf numFmtId="9" fontId="2" fillId="0" borderId="0" xfId="0" applyNumberFormat="1" applyFont="1"/>
    <xf numFmtId="0" fontId="1" fillId="0" borderId="0" xfId="0" applyFont="1"/>
    <xf numFmtId="43" fontId="0" fillId="0" borderId="0" xfId="2" applyFont="1"/>
    <xf numFmtId="165" fontId="0" fillId="0" borderId="0" xfId="2" applyNumberFormat="1" applyFont="1"/>
    <xf numFmtId="166" fontId="0" fillId="0" borderId="0" xfId="2" applyNumberFormat="1" applyFont="1"/>
    <xf numFmtId="167" fontId="0" fillId="0" borderId="0" xfId="0" applyNumberFormat="1"/>
    <xf numFmtId="0" fontId="0" fillId="0" borderId="0" xfId="0" applyFont="1"/>
    <xf numFmtId="166" fontId="0" fillId="0" borderId="0" xfId="0" applyNumberFormat="1"/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168" fontId="0" fillId="0" borderId="0" xfId="0" applyNumberFormat="1"/>
    <xf numFmtId="0" fontId="0" fillId="3" borderId="0" xfId="0" applyFill="1"/>
    <xf numFmtId="0" fontId="1" fillId="3" borderId="0" xfId="0" applyFont="1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3" fontId="2" fillId="0" borderId="0" xfId="2" applyFont="1"/>
    <xf numFmtId="43" fontId="2" fillId="0" borderId="0" xfId="2" applyFont="1" applyProtection="1">
      <protection locked="0"/>
    </xf>
    <xf numFmtId="169" fontId="1" fillId="0" borderId="0" xfId="0" applyNumberFormat="1" applyFont="1"/>
    <xf numFmtId="166" fontId="2" fillId="0" borderId="0" xfId="2" applyNumberFormat="1" applyFont="1"/>
    <xf numFmtId="168" fontId="2" fillId="0" borderId="0" xfId="1" applyNumberFormat="1">
      <protection locked="0"/>
    </xf>
    <xf numFmtId="3" fontId="1" fillId="0" borderId="0" xfId="0" applyNumberFormat="1" applyFont="1"/>
    <xf numFmtId="170" fontId="0" fillId="0" borderId="0" xfId="2" applyNumberFormat="1" applyFont="1"/>
    <xf numFmtId="9" fontId="2" fillId="0" borderId="0" xfId="1" applyNumberFormat="1">
      <protection locked="0"/>
    </xf>
    <xf numFmtId="3" fontId="0" fillId="0" borderId="0" xfId="0" applyNumberFormat="1"/>
    <xf numFmtId="0" fontId="5" fillId="0" borderId="0" xfId="0" applyFont="1"/>
    <xf numFmtId="0" fontId="0" fillId="0" borderId="0" xfId="0" applyAlignment="1">
      <alignment horizontal="left" indent="1"/>
    </xf>
    <xf numFmtId="3" fontId="2" fillId="0" borderId="0" xfId="1" applyNumberFormat="1">
      <protection locked="0"/>
    </xf>
    <xf numFmtId="9" fontId="0" fillId="0" borderId="0" xfId="3" applyFont="1"/>
    <xf numFmtId="164" fontId="0" fillId="0" borderId="0" xfId="3" applyNumberFormat="1" applyFont="1"/>
    <xf numFmtId="8" fontId="0" fillId="0" borderId="0" xfId="0" applyNumberFormat="1"/>
    <xf numFmtId="10" fontId="0" fillId="0" borderId="0" xfId="0" applyNumberFormat="1"/>
    <xf numFmtId="3" fontId="0" fillId="0" borderId="0" xfId="0" applyNumberFormat="1" applyFont="1"/>
    <xf numFmtId="38" fontId="0" fillId="0" borderId="0" xfId="0" applyNumberFormat="1" applyFont="1"/>
    <xf numFmtId="3" fontId="8" fillId="0" borderId="0" xfId="0" applyNumberFormat="1" applyFont="1"/>
    <xf numFmtId="9" fontId="0" fillId="0" borderId="0" xfId="0" applyNumberFormat="1" applyAlignment="1">
      <alignment horizontal="center"/>
    </xf>
    <xf numFmtId="38" fontId="5" fillId="0" borderId="0" xfId="0" applyNumberFormat="1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3" fontId="5" fillId="0" borderId="0" xfId="0" applyNumberFormat="1" applyFont="1"/>
    <xf numFmtId="167" fontId="5" fillId="0" borderId="0" xfId="0" applyNumberFormat="1" applyFont="1"/>
    <xf numFmtId="9" fontId="2" fillId="0" borderId="0" xfId="1" applyNumberFormat="1" applyAlignment="1">
      <alignment horizontal="left" indent="3"/>
      <protection locked="0"/>
    </xf>
    <xf numFmtId="166" fontId="1" fillId="0" borderId="0" xfId="0" applyNumberFormat="1" applyFont="1"/>
    <xf numFmtId="10" fontId="1" fillId="0" borderId="0" xfId="3" applyNumberFormat="1" applyFont="1"/>
    <xf numFmtId="166" fontId="1" fillId="0" borderId="0" xfId="2" applyNumberFormat="1" applyFont="1"/>
    <xf numFmtId="166" fontId="1" fillId="0" borderId="0" xfId="3" applyNumberFormat="1" applyFont="1"/>
    <xf numFmtId="9" fontId="1" fillId="0" borderId="0" xfId="2" applyNumberFormat="1" applyFont="1" applyAlignment="1">
      <alignment horizontal="center"/>
    </xf>
    <xf numFmtId="166" fontId="2" fillId="0" borderId="0" xfId="1" applyNumberFormat="1">
      <protection locked="0"/>
    </xf>
    <xf numFmtId="166" fontId="2" fillId="0" borderId="0" xfId="1" applyNumberFormat="1" applyAlignment="1">
      <protection locked="0"/>
    </xf>
    <xf numFmtId="166" fontId="0" fillId="0" borderId="0" xfId="2" applyNumberFormat="1" applyFont="1" applyAlignment="1">
      <alignment horizontal="center"/>
    </xf>
    <xf numFmtId="0" fontId="0" fillId="4" borderId="0" xfId="0" applyFill="1"/>
    <xf numFmtId="0" fontId="9" fillId="0" borderId="0" xfId="0" applyFont="1"/>
    <xf numFmtId="0" fontId="1" fillId="4" borderId="0" xfId="0" applyFont="1" applyFill="1"/>
    <xf numFmtId="0" fontId="10" fillId="0" borderId="0" xfId="4"/>
    <xf numFmtId="0" fontId="10" fillId="0" borderId="0" xfId="4" applyFill="1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</cellXfs>
  <cellStyles count="5">
    <cellStyle name="Comma" xfId="2" builtinId="3"/>
    <cellStyle name="Hyperlink" xfId="4" builtinId="8"/>
    <cellStyle name="Input Data" xfId="1" xr:uid="{DFB5103E-7C3F-415B-8698-379BF8AABB26}"/>
    <cellStyle name="Normal" xfId="0" builtinId="0"/>
    <cellStyle name="Percent" xfId="3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8958880139983"/>
          <c:y val="0.13467592592592595"/>
          <c:w val="0.83265485564304464"/>
          <c:h val="0.81439814814814815"/>
        </c:manualLayout>
      </c:layout>
      <c:lineChart>
        <c:grouping val="standard"/>
        <c:varyColors val="0"/>
        <c:ser>
          <c:idx val="0"/>
          <c:order val="0"/>
          <c:tx>
            <c:v>Payback Period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Macro!$E$9:$X$9</c:f>
              <c:strCache>
                <c:ptCount val="20"/>
                <c:pt idx="0">
                  <c:v>1Q 2024</c:v>
                </c:pt>
                <c:pt idx="1">
                  <c:v>2Q 2024</c:v>
                </c:pt>
                <c:pt idx="2">
                  <c:v>3Q 2024</c:v>
                </c:pt>
                <c:pt idx="3">
                  <c:v>4Q 2024</c:v>
                </c:pt>
                <c:pt idx="4">
                  <c:v>1Q 2025</c:v>
                </c:pt>
                <c:pt idx="5">
                  <c:v>2Q 2025</c:v>
                </c:pt>
                <c:pt idx="6">
                  <c:v>3Q 2025</c:v>
                </c:pt>
                <c:pt idx="7">
                  <c:v>4Q 2025</c:v>
                </c:pt>
                <c:pt idx="8">
                  <c:v>1Q 2026</c:v>
                </c:pt>
                <c:pt idx="9">
                  <c:v>2Q 2026</c:v>
                </c:pt>
                <c:pt idx="10">
                  <c:v>3Q 2026</c:v>
                </c:pt>
                <c:pt idx="11">
                  <c:v>4Q 2026</c:v>
                </c:pt>
                <c:pt idx="12">
                  <c:v>1Q 2027</c:v>
                </c:pt>
                <c:pt idx="13">
                  <c:v>2Q 2027</c:v>
                </c:pt>
                <c:pt idx="14">
                  <c:v>3Q 2027</c:v>
                </c:pt>
                <c:pt idx="15">
                  <c:v>4Q 2027</c:v>
                </c:pt>
                <c:pt idx="16">
                  <c:v>1Q 2028</c:v>
                </c:pt>
                <c:pt idx="17">
                  <c:v>2Q 2028</c:v>
                </c:pt>
                <c:pt idx="18">
                  <c:v>3Q 2028</c:v>
                </c:pt>
                <c:pt idx="19">
                  <c:v>4Q 2028</c:v>
                </c:pt>
              </c:strCache>
            </c:strRef>
          </c:cat>
          <c:val>
            <c:numRef>
              <c:f>Analysis!$E$10:$X$10</c:f>
              <c:numCache>
                <c:formatCode>_-* #,##0_-;\-* #,##0_-;_-* "-"??_-;_-@_-</c:formatCode>
                <c:ptCount val="20"/>
                <c:pt idx="0">
                  <c:v>-400000</c:v>
                </c:pt>
                <c:pt idx="1">
                  <c:v>-400000.00000000023</c:v>
                </c:pt>
                <c:pt idx="2">
                  <c:v>-400000.00000000023</c:v>
                </c:pt>
                <c:pt idx="3">
                  <c:v>-374142.35842384101</c:v>
                </c:pt>
                <c:pt idx="4">
                  <c:v>-349228.71752781235</c:v>
                </c:pt>
                <c:pt idx="5">
                  <c:v>-325226.10547632881</c:v>
                </c:pt>
                <c:pt idx="6">
                  <c:v>-302102.65033572225</c:v>
                </c:pt>
                <c:pt idx="7">
                  <c:v>-279827.54555960378</c:v>
                </c:pt>
                <c:pt idx="8">
                  <c:v>-258371.01645179576</c:v>
                </c:pt>
                <c:pt idx="9">
                  <c:v>-237704.28758483857</c:v>
                </c:pt>
                <c:pt idx="10">
                  <c:v>-217799.55115222538</c:v>
                </c:pt>
                <c:pt idx="11">
                  <c:v>-198629.93623269221</c:v>
                </c:pt>
                <c:pt idx="12">
                  <c:v>-180169.47894508782</c:v>
                </c:pt>
                <c:pt idx="13">
                  <c:v>-162393.09347256625</c:v>
                </c:pt>
                <c:pt idx="14">
                  <c:v>-145276.54393508236</c:v>
                </c:pt>
                <c:pt idx="15">
                  <c:v>-128796.41708942453</c:v>
                </c:pt>
                <c:pt idx="16">
                  <c:v>-112930.09583628847</c:v>
                </c:pt>
                <c:pt idx="17">
                  <c:v>-97655.733514178268</c:v>
                </c:pt>
                <c:pt idx="18">
                  <c:v>-54378.698387906537</c:v>
                </c:pt>
                <c:pt idx="19">
                  <c:v>-11783.116592793936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C-4353-91B2-72587031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30687"/>
        <c:axId val="2058907007"/>
      </c:lineChart>
      <c:catAx>
        <c:axId val="206913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58907007"/>
        <c:crosses val="autoZero"/>
        <c:auto val="1"/>
        <c:lblAlgn val="ctr"/>
        <c:lblOffset val="100"/>
        <c:noMultiLvlLbl val="0"/>
      </c:catAx>
      <c:valAx>
        <c:axId val="20589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6913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8958880139983"/>
          <c:y val="0.13467592592592595"/>
          <c:w val="0.83265485564304464"/>
          <c:h val="0.81439814814814815"/>
        </c:manualLayout>
      </c:layout>
      <c:lineChart>
        <c:grouping val="standard"/>
        <c:varyColors val="0"/>
        <c:ser>
          <c:idx val="0"/>
          <c:order val="0"/>
          <c:tx>
            <c:v>Payback Period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Macro!$E$9:$X$9</c:f>
              <c:strCache>
                <c:ptCount val="20"/>
                <c:pt idx="0">
                  <c:v>1Q 2024</c:v>
                </c:pt>
                <c:pt idx="1">
                  <c:v>2Q 2024</c:v>
                </c:pt>
                <c:pt idx="2">
                  <c:v>3Q 2024</c:v>
                </c:pt>
                <c:pt idx="3">
                  <c:v>4Q 2024</c:v>
                </c:pt>
                <c:pt idx="4">
                  <c:v>1Q 2025</c:v>
                </c:pt>
                <c:pt idx="5">
                  <c:v>2Q 2025</c:v>
                </c:pt>
                <c:pt idx="6">
                  <c:v>3Q 2025</c:v>
                </c:pt>
                <c:pt idx="7">
                  <c:v>4Q 2025</c:v>
                </c:pt>
                <c:pt idx="8">
                  <c:v>1Q 2026</c:v>
                </c:pt>
                <c:pt idx="9">
                  <c:v>2Q 2026</c:v>
                </c:pt>
                <c:pt idx="10">
                  <c:v>3Q 2026</c:v>
                </c:pt>
                <c:pt idx="11">
                  <c:v>4Q 2026</c:v>
                </c:pt>
                <c:pt idx="12">
                  <c:v>1Q 2027</c:v>
                </c:pt>
                <c:pt idx="13">
                  <c:v>2Q 2027</c:v>
                </c:pt>
                <c:pt idx="14">
                  <c:v>3Q 2027</c:v>
                </c:pt>
                <c:pt idx="15">
                  <c:v>4Q 2027</c:v>
                </c:pt>
                <c:pt idx="16">
                  <c:v>1Q 2028</c:v>
                </c:pt>
                <c:pt idx="17">
                  <c:v>2Q 2028</c:v>
                </c:pt>
                <c:pt idx="18">
                  <c:v>3Q 2028</c:v>
                </c:pt>
                <c:pt idx="19">
                  <c:v>4Q 2028</c:v>
                </c:pt>
              </c:strCache>
            </c:strRef>
          </c:cat>
          <c:val>
            <c:numRef>
              <c:f>Analysis!$E$10:$X$10</c:f>
              <c:numCache>
                <c:formatCode>_-* #,##0_-;\-* #,##0_-;_-* "-"??_-;_-@_-</c:formatCode>
                <c:ptCount val="20"/>
                <c:pt idx="0">
                  <c:v>-400000</c:v>
                </c:pt>
                <c:pt idx="1">
                  <c:v>-400000.00000000023</c:v>
                </c:pt>
                <c:pt idx="2">
                  <c:v>-400000.00000000023</c:v>
                </c:pt>
                <c:pt idx="3">
                  <c:v>-374142.35842384101</c:v>
                </c:pt>
                <c:pt idx="4">
                  <c:v>-349228.71752781235</c:v>
                </c:pt>
                <c:pt idx="5">
                  <c:v>-325226.10547632881</c:v>
                </c:pt>
                <c:pt idx="6">
                  <c:v>-302102.65033572225</c:v>
                </c:pt>
                <c:pt idx="7">
                  <c:v>-279827.54555960378</c:v>
                </c:pt>
                <c:pt idx="8">
                  <c:v>-258371.01645179576</c:v>
                </c:pt>
                <c:pt idx="9">
                  <c:v>-237704.28758483857</c:v>
                </c:pt>
                <c:pt idx="10">
                  <c:v>-217799.55115222538</c:v>
                </c:pt>
                <c:pt idx="11">
                  <c:v>-198629.93623269221</c:v>
                </c:pt>
                <c:pt idx="12">
                  <c:v>-180169.47894508782</c:v>
                </c:pt>
                <c:pt idx="13">
                  <c:v>-162393.09347256625</c:v>
                </c:pt>
                <c:pt idx="14">
                  <c:v>-145276.54393508236</c:v>
                </c:pt>
                <c:pt idx="15">
                  <c:v>-128796.41708942453</c:v>
                </c:pt>
                <c:pt idx="16">
                  <c:v>-112930.09583628847</c:v>
                </c:pt>
                <c:pt idx="17">
                  <c:v>-97655.733514178268</c:v>
                </c:pt>
                <c:pt idx="18">
                  <c:v>-54378.698387906537</c:v>
                </c:pt>
                <c:pt idx="19">
                  <c:v>-11783.116592793936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1-454F-BE1B-E979A8E9B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30687"/>
        <c:axId val="2058907007"/>
      </c:lineChart>
      <c:catAx>
        <c:axId val="206913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58907007"/>
        <c:crosses val="autoZero"/>
        <c:auto val="1"/>
        <c:lblAlgn val="ctr"/>
        <c:lblOffset val="100"/>
        <c:noMultiLvlLbl val="0"/>
      </c:catAx>
      <c:valAx>
        <c:axId val="20589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6913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Sales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Macro!$E$9:$X$9</c:f>
              <c:strCache>
                <c:ptCount val="20"/>
                <c:pt idx="0">
                  <c:v>1Q 2024</c:v>
                </c:pt>
                <c:pt idx="1">
                  <c:v>2Q 2024</c:v>
                </c:pt>
                <c:pt idx="2">
                  <c:v>3Q 2024</c:v>
                </c:pt>
                <c:pt idx="3">
                  <c:v>4Q 2024</c:v>
                </c:pt>
                <c:pt idx="4">
                  <c:v>1Q 2025</c:v>
                </c:pt>
                <c:pt idx="5">
                  <c:v>2Q 2025</c:v>
                </c:pt>
                <c:pt idx="6">
                  <c:v>3Q 2025</c:v>
                </c:pt>
                <c:pt idx="7">
                  <c:v>4Q 2025</c:v>
                </c:pt>
                <c:pt idx="8">
                  <c:v>1Q 2026</c:v>
                </c:pt>
                <c:pt idx="9">
                  <c:v>2Q 2026</c:v>
                </c:pt>
                <c:pt idx="10">
                  <c:v>3Q 2026</c:v>
                </c:pt>
                <c:pt idx="11">
                  <c:v>4Q 2026</c:v>
                </c:pt>
                <c:pt idx="12">
                  <c:v>1Q 2027</c:v>
                </c:pt>
                <c:pt idx="13">
                  <c:v>2Q 2027</c:v>
                </c:pt>
                <c:pt idx="14">
                  <c:v>3Q 2027</c:v>
                </c:pt>
                <c:pt idx="15">
                  <c:v>4Q 2027</c:v>
                </c:pt>
                <c:pt idx="16">
                  <c:v>1Q 2028</c:v>
                </c:pt>
                <c:pt idx="17">
                  <c:v>2Q 2028</c:v>
                </c:pt>
                <c:pt idx="18">
                  <c:v>3Q 2028</c:v>
                </c:pt>
                <c:pt idx="19">
                  <c:v>4Q 2028</c:v>
                </c:pt>
              </c:strCache>
            </c:strRef>
          </c:cat>
          <c:val>
            <c:numRef>
              <c:f>Reports!$E$6:$X$6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448713.717196165</c:v>
                </c:pt>
                <c:pt idx="3">
                  <c:v>453135.07587579777</c:v>
                </c:pt>
                <c:pt idx="4">
                  <c:v>457599.99999999977</c:v>
                </c:pt>
                <c:pt idx="5">
                  <c:v>462108.91883680795</c:v>
                </c:pt>
                <c:pt idx="6">
                  <c:v>466662.26588401152</c:v>
                </c:pt>
                <c:pt idx="7">
                  <c:v>471260.47891082964</c:v>
                </c:pt>
                <c:pt idx="8">
                  <c:v>475903.99999999977</c:v>
                </c:pt>
                <c:pt idx="9">
                  <c:v>480593.2755902803</c:v>
                </c:pt>
                <c:pt idx="10">
                  <c:v>485328.75651937193</c:v>
                </c:pt>
                <c:pt idx="11">
                  <c:v>490110.89806726284</c:v>
                </c:pt>
                <c:pt idx="12">
                  <c:v>494940.15999999968</c:v>
                </c:pt>
                <c:pt idx="13">
                  <c:v>499817.00661389146</c:v>
                </c:pt>
                <c:pt idx="14">
                  <c:v>504741.90678014676</c:v>
                </c:pt>
                <c:pt idx="15">
                  <c:v>509715.33398995327</c:v>
                </c:pt>
                <c:pt idx="16">
                  <c:v>514737.76639999973</c:v>
                </c:pt>
                <c:pt idx="17">
                  <c:v>519809.68687844696</c:v>
                </c:pt>
                <c:pt idx="18">
                  <c:v>524931.58305135253</c:v>
                </c:pt>
                <c:pt idx="19">
                  <c:v>530103.94734955125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7-4619-AB17-F9003CEC8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593423"/>
        <c:axId val="1638099919"/>
      </c:barChart>
      <c:catAx>
        <c:axId val="211659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38099919"/>
        <c:crosses val="autoZero"/>
        <c:auto val="1"/>
        <c:lblAlgn val="ctr"/>
        <c:lblOffset val="100"/>
        <c:noMultiLvlLbl val="0"/>
      </c:catAx>
      <c:valAx>
        <c:axId val="163809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11659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4</xdr:row>
      <xdr:rowOff>38100</xdr:rowOff>
    </xdr:from>
    <xdr:to>
      <xdr:col>11</xdr:col>
      <xdr:colOff>289560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48EEA8-BFDF-43C9-AAAB-D74A808BB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22860</xdr:rowOff>
    </xdr:from>
    <xdr:to>
      <xdr:col>7</xdr:col>
      <xdr:colOff>304800</xdr:colOff>
      <xdr:row>16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26DA7-01E6-4F4C-849E-721B4E777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30480</xdr:rowOff>
    </xdr:from>
    <xdr:to>
      <xdr:col>7</xdr:col>
      <xdr:colOff>304800</xdr:colOff>
      <xdr:row>35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9566E4-5D94-4E94-BACA-80B657145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D5D2-5BC7-4528-BE67-1ADA4EE696B0}">
  <dimension ref="A2:H15"/>
  <sheetViews>
    <sheetView tabSelected="1" workbookViewId="0">
      <selection activeCell="N15" sqref="N15"/>
    </sheetView>
  </sheetViews>
  <sheetFormatPr defaultRowHeight="14.4" x14ac:dyDescent="0.3"/>
  <cols>
    <col min="1" max="1" width="16.6640625" customWidth="1"/>
  </cols>
  <sheetData>
    <row r="2" spans="1:8" ht="18" x14ac:dyDescent="0.35">
      <c r="A2" t="s">
        <v>234</v>
      </c>
      <c r="B2" s="65" t="s">
        <v>256</v>
      </c>
    </row>
    <row r="4" spans="1:8" x14ac:dyDescent="0.3">
      <c r="A4" s="66" t="s">
        <v>235</v>
      </c>
      <c r="B4" s="66"/>
      <c r="C4" s="66"/>
    </row>
    <row r="5" spans="1:8" x14ac:dyDescent="0.3">
      <c r="A5" s="67" t="s">
        <v>236</v>
      </c>
      <c r="B5" t="s">
        <v>245</v>
      </c>
    </row>
    <row r="6" spans="1:8" x14ac:dyDescent="0.3">
      <c r="A6" s="67" t="s">
        <v>237</v>
      </c>
      <c r="B6" t="s">
        <v>246</v>
      </c>
    </row>
    <row r="7" spans="1:8" x14ac:dyDescent="0.3">
      <c r="A7" s="67" t="s">
        <v>238</v>
      </c>
      <c r="B7" t="s">
        <v>247</v>
      </c>
    </row>
    <row r="8" spans="1:8" x14ac:dyDescent="0.3">
      <c r="A8" s="67" t="s">
        <v>239</v>
      </c>
      <c r="B8" t="s">
        <v>248</v>
      </c>
    </row>
    <row r="9" spans="1:8" x14ac:dyDescent="0.3">
      <c r="A9" s="68" t="s">
        <v>251</v>
      </c>
      <c r="B9" t="s">
        <v>252</v>
      </c>
    </row>
    <row r="10" spans="1:8" x14ac:dyDescent="0.3">
      <c r="A10" s="67" t="s">
        <v>240</v>
      </c>
      <c r="B10" t="s">
        <v>249</v>
      </c>
    </row>
    <row r="11" spans="1:8" x14ac:dyDescent="0.3">
      <c r="A11" s="67" t="s">
        <v>241</v>
      </c>
      <c r="B11" t="s">
        <v>250</v>
      </c>
    </row>
    <row r="13" spans="1:8" x14ac:dyDescent="0.3">
      <c r="A13" s="66" t="s">
        <v>242</v>
      </c>
      <c r="B13" s="66"/>
      <c r="C13" s="66"/>
      <c r="F13" s="66" t="s">
        <v>253</v>
      </c>
      <c r="G13" s="66"/>
      <c r="H13" s="66"/>
    </row>
    <row r="14" spans="1:8" x14ac:dyDescent="0.3">
      <c r="A14" t="s">
        <v>243</v>
      </c>
      <c r="B14" s="1">
        <v>999</v>
      </c>
      <c r="F14" t="s">
        <v>254</v>
      </c>
    </row>
    <row r="15" spans="1:8" x14ac:dyDescent="0.3">
      <c r="A15" t="s">
        <v>244</v>
      </c>
      <c r="B15" s="16">
        <v>999</v>
      </c>
      <c r="F15" t="s">
        <v>255</v>
      </c>
    </row>
  </sheetData>
  <hyperlinks>
    <hyperlink ref="A5" location="Summary!A1" display="Summary" xr:uid="{DCEEC278-85B1-4D47-A188-5D0AF16715A2}"/>
    <hyperlink ref="A6" location="Macro!A1" display="Macro" xr:uid="{57E37C6F-7A30-4DBC-930C-206066813B70}"/>
    <hyperlink ref="A7" location="Assumptions!A1" display="Assumptions" xr:uid="{9B440FE9-89FB-4A4C-81A4-A6520A1DC765}"/>
    <hyperlink ref="A8" location="Reports!A1" display="Reports" xr:uid="{EB8EE892-8A72-4412-B865-09B1BB461158}"/>
    <hyperlink ref="A9" location="Analysis!A1" display="Analysis" xr:uid="{422C1916-FB57-4A74-A1DC-5C16FD6974E6}"/>
    <hyperlink ref="A10" location="Charts!A1" display="Charts" xr:uid="{A8B813A7-BEB6-4C84-A86F-62356CA43DD6}"/>
    <hyperlink ref="A11" location="'Scenario Analysis'!A1" display="Scenarios" xr:uid="{B800D2B8-C998-425C-B935-6F6FB069D0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AB1D-D568-4845-89D5-C78E483BEDBA}">
  <dimension ref="A1:G18"/>
  <sheetViews>
    <sheetView workbookViewId="0">
      <selection activeCell="K23" sqref="K23"/>
    </sheetView>
  </sheetViews>
  <sheetFormatPr defaultRowHeight="14.4" x14ac:dyDescent="0.3"/>
  <cols>
    <col min="1" max="1" width="26.33203125" customWidth="1"/>
    <col min="2" max="2" width="11.33203125" bestFit="1" customWidth="1"/>
    <col min="4" max="4" width="2.109375" customWidth="1"/>
  </cols>
  <sheetData>
    <row r="1" spans="1:7" x14ac:dyDescent="0.3">
      <c r="A1" s="69" t="s">
        <v>225</v>
      </c>
    </row>
    <row r="2" spans="1:7" x14ac:dyDescent="0.3">
      <c r="A2" s="69"/>
    </row>
    <row r="4" spans="1:7" x14ac:dyDescent="0.3">
      <c r="A4" s="16" t="s">
        <v>219</v>
      </c>
      <c r="B4" s="1">
        <v>1</v>
      </c>
      <c r="E4" s="66" t="s">
        <v>233</v>
      </c>
      <c r="F4" s="64"/>
      <c r="G4" s="64"/>
    </row>
    <row r="5" spans="1:7" x14ac:dyDescent="0.3">
      <c r="B5" t="str">
        <f>+'Scenario Analysis'!A8</f>
        <v xml:space="preserve">Base case </v>
      </c>
    </row>
    <row r="7" spans="1:7" x14ac:dyDescent="0.3">
      <c r="A7" s="66" t="s">
        <v>226</v>
      </c>
      <c r="B7" s="64"/>
      <c r="C7" s="64"/>
    </row>
    <row r="9" spans="1:7" x14ac:dyDescent="0.3">
      <c r="A9" t="s">
        <v>97</v>
      </c>
      <c r="B9" s="38">
        <f>+SUM(Assumptions!E140:X140)</f>
        <v>1080000</v>
      </c>
      <c r="C9" t="str">
        <f>+Currency</f>
        <v>Rub '000'</v>
      </c>
    </row>
    <row r="11" spans="1:7" x14ac:dyDescent="0.3">
      <c r="A11" t="s">
        <v>228</v>
      </c>
      <c r="B11" s="38">
        <f>+Analysis!B45</f>
        <v>400000</v>
      </c>
      <c r="C11" t="str">
        <f>+Currency</f>
        <v>Rub '000'</v>
      </c>
    </row>
    <row r="12" spans="1:7" x14ac:dyDescent="0.3">
      <c r="A12" t="s">
        <v>227</v>
      </c>
      <c r="B12" s="38">
        <f ca="1">+Analysis!B46</f>
        <v>775936.90354803018</v>
      </c>
      <c r="C12" t="str">
        <f>+Currency</f>
        <v>Rub '000'</v>
      </c>
    </row>
    <row r="14" spans="1:7" x14ac:dyDescent="0.3">
      <c r="A14" s="66" t="s">
        <v>229</v>
      </c>
      <c r="B14" s="64"/>
      <c r="C14" s="64"/>
    </row>
    <row r="16" spans="1:7" x14ac:dyDescent="0.3">
      <c r="A16" t="s">
        <v>230</v>
      </c>
      <c r="B16" s="14">
        <f>+Analysis!B7</f>
        <v>0.2</v>
      </c>
      <c r="C16" s="11" t="s">
        <v>14</v>
      </c>
    </row>
    <row r="17" spans="1:3" x14ac:dyDescent="0.3">
      <c r="A17" t="s">
        <v>231</v>
      </c>
      <c r="B17" s="19">
        <f ca="1">+Analysis!B12</f>
        <v>-11783.116592793936</v>
      </c>
      <c r="C17" s="11" t="str">
        <f>+Currency</f>
        <v>Rub '000'</v>
      </c>
    </row>
    <row r="18" spans="1:3" x14ac:dyDescent="0.3">
      <c r="A18" t="s">
        <v>232</v>
      </c>
      <c r="B18" s="42">
        <f ca="1">+Analysis!B13</f>
        <v>0.18971751464843756</v>
      </c>
      <c r="C18" s="11" t="s">
        <v>14</v>
      </c>
    </row>
  </sheetData>
  <mergeCells count="1">
    <mergeCell ref="A1:A2"/>
  </mergeCells>
  <dataValidations count="1">
    <dataValidation type="list" allowBlank="1" showInputMessage="1" showErrorMessage="1" sqref="B4" xr:uid="{32F1CC03-56B9-4ED7-8BDA-94B02DFB22EC}">
      <formula1>"1,2,3"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zoomScale="76" zoomScaleNormal="76" workbookViewId="0">
      <pane xSplit="4" ySplit="2" topLeftCell="F3" activePane="bottomRight" state="frozen"/>
      <selection pane="topRight" activeCell="E1" sqref="E1"/>
      <selection pane="bottomLeft" activeCell="A3" sqref="A3"/>
      <selection pane="bottomRight" activeCell="A19" sqref="A19"/>
    </sheetView>
  </sheetViews>
  <sheetFormatPr defaultRowHeight="14.4" x14ac:dyDescent="0.3"/>
  <cols>
    <col min="1" max="1" width="35.77734375" customWidth="1"/>
    <col min="2" max="2" width="10.77734375" customWidth="1"/>
    <col min="3" max="3" width="10.77734375" style="11" customWidth="1"/>
    <col min="4" max="4" width="1.5546875" customWidth="1"/>
    <col min="5" max="24" width="10.77734375" customWidth="1"/>
  </cols>
  <sheetData>
    <row r="1" spans="1:24" x14ac:dyDescent="0.3">
      <c r="A1" s="70" t="s">
        <v>6</v>
      </c>
      <c r="E1" s="4">
        <f>+E6</f>
        <v>1</v>
      </c>
      <c r="F1" s="4">
        <f t="shared" ref="F1:X1" si="0">+F6</f>
        <v>2</v>
      </c>
      <c r="G1" s="4">
        <f t="shared" si="0"/>
        <v>3</v>
      </c>
      <c r="H1" s="4">
        <f t="shared" si="0"/>
        <v>4</v>
      </c>
      <c r="I1" s="4">
        <f t="shared" si="0"/>
        <v>5</v>
      </c>
      <c r="J1" s="4">
        <f t="shared" si="0"/>
        <v>6</v>
      </c>
      <c r="K1" s="4">
        <f t="shared" si="0"/>
        <v>7</v>
      </c>
      <c r="L1" s="4">
        <f t="shared" si="0"/>
        <v>8</v>
      </c>
      <c r="M1" s="4">
        <f t="shared" si="0"/>
        <v>9</v>
      </c>
      <c r="N1" s="4">
        <f t="shared" si="0"/>
        <v>10</v>
      </c>
      <c r="O1" s="4">
        <f t="shared" si="0"/>
        <v>11</v>
      </c>
      <c r="P1" s="4">
        <f t="shared" si="0"/>
        <v>12</v>
      </c>
      <c r="Q1" s="4">
        <f t="shared" si="0"/>
        <v>13</v>
      </c>
      <c r="R1" s="4">
        <f t="shared" si="0"/>
        <v>14</v>
      </c>
      <c r="S1" s="4">
        <f t="shared" si="0"/>
        <v>15</v>
      </c>
      <c r="T1" s="4">
        <f t="shared" si="0"/>
        <v>16</v>
      </c>
      <c r="U1" s="4">
        <f t="shared" si="0"/>
        <v>17</v>
      </c>
      <c r="V1" s="4">
        <f t="shared" si="0"/>
        <v>18</v>
      </c>
      <c r="W1" s="4">
        <f t="shared" si="0"/>
        <v>19</v>
      </c>
      <c r="X1" s="4">
        <f t="shared" si="0"/>
        <v>20</v>
      </c>
    </row>
    <row r="2" spans="1:24" x14ac:dyDescent="0.3">
      <c r="A2" s="70"/>
      <c r="E2" s="5" t="str">
        <f t="shared" ref="E2:X2" si="1">+E9</f>
        <v>1Q 2024</v>
      </c>
      <c r="F2" s="5" t="str">
        <f t="shared" si="1"/>
        <v>2Q 2024</v>
      </c>
      <c r="G2" s="5" t="str">
        <f t="shared" si="1"/>
        <v>3Q 2024</v>
      </c>
      <c r="H2" s="5" t="str">
        <f t="shared" si="1"/>
        <v>4Q 2024</v>
      </c>
      <c r="I2" s="5" t="str">
        <f t="shared" si="1"/>
        <v>1Q 2025</v>
      </c>
      <c r="J2" s="5" t="str">
        <f t="shared" si="1"/>
        <v>2Q 2025</v>
      </c>
      <c r="K2" s="5" t="str">
        <f t="shared" si="1"/>
        <v>3Q 2025</v>
      </c>
      <c r="L2" s="5" t="str">
        <f t="shared" si="1"/>
        <v>4Q 2025</v>
      </c>
      <c r="M2" s="5" t="str">
        <f t="shared" si="1"/>
        <v>1Q 2026</v>
      </c>
      <c r="N2" s="5" t="str">
        <f t="shared" si="1"/>
        <v>2Q 2026</v>
      </c>
      <c r="O2" s="5" t="str">
        <f t="shared" si="1"/>
        <v>3Q 2026</v>
      </c>
      <c r="P2" s="5" t="str">
        <f t="shared" si="1"/>
        <v>4Q 2026</v>
      </c>
      <c r="Q2" s="5" t="str">
        <f t="shared" si="1"/>
        <v>1Q 2027</v>
      </c>
      <c r="R2" s="5" t="str">
        <f t="shared" si="1"/>
        <v>2Q 2027</v>
      </c>
      <c r="S2" s="5" t="str">
        <f t="shared" si="1"/>
        <v>3Q 2027</v>
      </c>
      <c r="T2" s="5" t="str">
        <f t="shared" si="1"/>
        <v>4Q 2027</v>
      </c>
      <c r="U2" s="5" t="str">
        <f t="shared" si="1"/>
        <v>1Q 2028</v>
      </c>
      <c r="V2" s="5" t="str">
        <f t="shared" si="1"/>
        <v>2Q 2028</v>
      </c>
      <c r="W2" s="5" t="str">
        <f t="shared" si="1"/>
        <v>3Q 2028</v>
      </c>
      <c r="X2" s="5" t="str">
        <f t="shared" si="1"/>
        <v>4Q 2028</v>
      </c>
    </row>
    <row r="4" spans="1:24" x14ac:dyDescent="0.3">
      <c r="A4" t="s">
        <v>4</v>
      </c>
      <c r="B4" s="2">
        <v>45292</v>
      </c>
    </row>
    <row r="5" spans="1:24" x14ac:dyDescent="0.3">
      <c r="A5" t="s">
        <v>0</v>
      </c>
      <c r="B5" s="1">
        <v>3</v>
      </c>
      <c r="C5" s="11" t="s">
        <v>10</v>
      </c>
      <c r="E5">
        <f>+$B$5</f>
        <v>3</v>
      </c>
      <c r="F5">
        <f t="shared" ref="F5:X5" si="2">+$B$5</f>
        <v>3</v>
      </c>
      <c r="G5">
        <f t="shared" si="2"/>
        <v>3</v>
      </c>
      <c r="H5">
        <f t="shared" si="2"/>
        <v>3</v>
      </c>
      <c r="I5">
        <f t="shared" si="2"/>
        <v>3</v>
      </c>
      <c r="J5">
        <f t="shared" si="2"/>
        <v>3</v>
      </c>
      <c r="K5">
        <f t="shared" si="2"/>
        <v>3</v>
      </c>
      <c r="L5">
        <f t="shared" si="2"/>
        <v>3</v>
      </c>
      <c r="M5">
        <f t="shared" si="2"/>
        <v>3</v>
      </c>
      <c r="N5">
        <f t="shared" si="2"/>
        <v>3</v>
      </c>
      <c r="O5">
        <f t="shared" si="2"/>
        <v>3</v>
      </c>
      <c r="P5">
        <f t="shared" si="2"/>
        <v>3</v>
      </c>
      <c r="Q5">
        <f t="shared" si="2"/>
        <v>3</v>
      </c>
      <c r="R5">
        <f t="shared" si="2"/>
        <v>3</v>
      </c>
      <c r="S5">
        <f t="shared" si="2"/>
        <v>3</v>
      </c>
      <c r="T5">
        <f t="shared" si="2"/>
        <v>3</v>
      </c>
      <c r="U5">
        <f t="shared" si="2"/>
        <v>3</v>
      </c>
      <c r="V5">
        <f t="shared" si="2"/>
        <v>3</v>
      </c>
      <c r="W5">
        <f t="shared" si="2"/>
        <v>3</v>
      </c>
      <c r="X5">
        <f t="shared" si="2"/>
        <v>3</v>
      </c>
    </row>
    <row r="6" spans="1:24" x14ac:dyDescent="0.3">
      <c r="A6" t="s">
        <v>1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</row>
    <row r="7" spans="1:24" x14ac:dyDescent="0.3">
      <c r="A7" t="s">
        <v>2</v>
      </c>
      <c r="E7" s="3">
        <f>+B4</f>
        <v>45292</v>
      </c>
      <c r="F7" s="3">
        <f>+E8</f>
        <v>45382</v>
      </c>
      <c r="G7" s="3">
        <f t="shared" ref="G7:X7" si="3">+F8</f>
        <v>45472</v>
      </c>
      <c r="H7" s="3">
        <f t="shared" si="3"/>
        <v>45563</v>
      </c>
      <c r="I7" s="3">
        <f t="shared" si="3"/>
        <v>45653</v>
      </c>
      <c r="J7" s="3">
        <f t="shared" si="3"/>
        <v>45742</v>
      </c>
      <c r="K7" s="3">
        <f t="shared" si="3"/>
        <v>45833</v>
      </c>
      <c r="L7" s="3">
        <f t="shared" si="3"/>
        <v>45924</v>
      </c>
      <c r="M7" s="3">
        <f t="shared" si="3"/>
        <v>46014</v>
      </c>
      <c r="N7" s="3">
        <f t="shared" si="3"/>
        <v>46103</v>
      </c>
      <c r="O7" s="3">
        <f t="shared" si="3"/>
        <v>46194</v>
      </c>
      <c r="P7" s="3">
        <f t="shared" si="3"/>
        <v>46285</v>
      </c>
      <c r="Q7" s="3">
        <f t="shared" si="3"/>
        <v>46375</v>
      </c>
      <c r="R7" s="3">
        <f t="shared" si="3"/>
        <v>46464</v>
      </c>
      <c r="S7" s="3">
        <f t="shared" si="3"/>
        <v>46555</v>
      </c>
      <c r="T7" s="3">
        <f t="shared" si="3"/>
        <v>46646</v>
      </c>
      <c r="U7" s="3">
        <f t="shared" si="3"/>
        <v>46736</v>
      </c>
      <c r="V7" s="3">
        <f t="shared" si="3"/>
        <v>46826</v>
      </c>
      <c r="W7" s="3">
        <f t="shared" si="3"/>
        <v>46917</v>
      </c>
      <c r="X7" s="3">
        <f t="shared" si="3"/>
        <v>47008</v>
      </c>
    </row>
    <row r="8" spans="1:24" x14ac:dyDescent="0.3">
      <c r="A8" t="s">
        <v>3</v>
      </c>
      <c r="E8" s="3">
        <f>+EDATE(E7,E5)-1</f>
        <v>45382</v>
      </c>
      <c r="F8" s="3">
        <f t="shared" ref="F8" si="4">+EDATE(F7,F5)-1</f>
        <v>45472</v>
      </c>
      <c r="G8" s="3">
        <f t="shared" ref="G8" si="5">+EDATE(G7,G5)-1</f>
        <v>45563</v>
      </c>
      <c r="H8" s="3">
        <f t="shared" ref="H8" si="6">+EDATE(H7,H5)-1</f>
        <v>45653</v>
      </c>
      <c r="I8" s="3">
        <f t="shared" ref="I8" si="7">+EDATE(I7,I5)-1</f>
        <v>45742</v>
      </c>
      <c r="J8" s="3">
        <f t="shared" ref="J8" si="8">+EDATE(J7,J5)-1</f>
        <v>45833</v>
      </c>
      <c r="K8" s="3">
        <f t="shared" ref="K8" si="9">+EDATE(K7,K5)-1</f>
        <v>45924</v>
      </c>
      <c r="L8" s="3">
        <f t="shared" ref="L8" si="10">+EDATE(L7,L5)-1</f>
        <v>46014</v>
      </c>
      <c r="M8" s="3">
        <f t="shared" ref="M8" si="11">+EDATE(M7,M5)-1</f>
        <v>46103</v>
      </c>
      <c r="N8" s="3">
        <f t="shared" ref="N8" si="12">+EDATE(N7,N5)-1</f>
        <v>46194</v>
      </c>
      <c r="O8" s="3">
        <f t="shared" ref="O8" si="13">+EDATE(O7,O5)-1</f>
        <v>46285</v>
      </c>
      <c r="P8" s="3">
        <f t="shared" ref="P8" si="14">+EDATE(P7,P5)-1</f>
        <v>46375</v>
      </c>
      <c r="Q8" s="3">
        <f t="shared" ref="Q8" si="15">+EDATE(Q7,Q5)-1</f>
        <v>46464</v>
      </c>
      <c r="R8" s="3">
        <f t="shared" ref="R8" si="16">+EDATE(R7,R5)-1</f>
        <v>46555</v>
      </c>
      <c r="S8" s="3">
        <f t="shared" ref="S8" si="17">+EDATE(S7,S5)-1</f>
        <v>46646</v>
      </c>
      <c r="T8" s="3">
        <f t="shared" ref="T8" si="18">+EDATE(T7,T5)-1</f>
        <v>46736</v>
      </c>
      <c r="U8" s="3">
        <f t="shared" ref="U8" si="19">+EDATE(U7,U5)-1</f>
        <v>46826</v>
      </c>
      <c r="V8" s="3">
        <f t="shared" ref="V8" si="20">+EDATE(V7,V5)-1</f>
        <v>46917</v>
      </c>
      <c r="W8" s="3">
        <f t="shared" ref="W8" si="21">+EDATE(W7,W5)-1</f>
        <v>47008</v>
      </c>
      <c r="X8" s="3">
        <f t="shared" ref="X8" si="22">+EDATE(X7,X5)-1</f>
        <v>47098</v>
      </c>
    </row>
    <row r="9" spans="1:24" x14ac:dyDescent="0.3">
      <c r="A9" t="s">
        <v>5</v>
      </c>
      <c r="E9" s="3" t="str">
        <f>+IF(E5=12,YEAR(E8),MONTH(E8)/3&amp;"Q "&amp;YEAR(E8))</f>
        <v>1Q 2024</v>
      </c>
      <c r="F9" s="3" t="str">
        <f t="shared" ref="F9:X9" si="23">+IF(F5=12,YEAR(F8),MONTH(F8)/3&amp;"Q "&amp;YEAR(F8))</f>
        <v>2Q 2024</v>
      </c>
      <c r="G9" s="3" t="str">
        <f t="shared" si="23"/>
        <v>3Q 2024</v>
      </c>
      <c r="H9" s="3" t="str">
        <f t="shared" si="23"/>
        <v>4Q 2024</v>
      </c>
      <c r="I9" s="3" t="str">
        <f t="shared" si="23"/>
        <v>1Q 2025</v>
      </c>
      <c r="J9" s="3" t="str">
        <f t="shared" si="23"/>
        <v>2Q 2025</v>
      </c>
      <c r="K9" s="3" t="str">
        <f t="shared" si="23"/>
        <v>3Q 2025</v>
      </c>
      <c r="L9" s="3" t="str">
        <f t="shared" si="23"/>
        <v>4Q 2025</v>
      </c>
      <c r="M9" s="3" t="str">
        <f t="shared" si="23"/>
        <v>1Q 2026</v>
      </c>
      <c r="N9" s="3" t="str">
        <f t="shared" si="23"/>
        <v>2Q 2026</v>
      </c>
      <c r="O9" s="3" t="str">
        <f t="shared" si="23"/>
        <v>3Q 2026</v>
      </c>
      <c r="P9" s="3" t="str">
        <f t="shared" si="23"/>
        <v>4Q 2026</v>
      </c>
      <c r="Q9" s="3" t="str">
        <f t="shared" si="23"/>
        <v>1Q 2027</v>
      </c>
      <c r="R9" s="3" t="str">
        <f t="shared" si="23"/>
        <v>2Q 2027</v>
      </c>
      <c r="S9" s="3" t="str">
        <f t="shared" si="23"/>
        <v>3Q 2027</v>
      </c>
      <c r="T9" s="3" t="str">
        <f t="shared" si="23"/>
        <v>4Q 2027</v>
      </c>
      <c r="U9" s="3" t="str">
        <f t="shared" si="23"/>
        <v>1Q 2028</v>
      </c>
      <c r="V9" s="3" t="str">
        <f t="shared" si="23"/>
        <v>2Q 2028</v>
      </c>
      <c r="W9" s="3" t="str">
        <f t="shared" si="23"/>
        <v>3Q 2028</v>
      </c>
      <c r="X9" s="3" t="str">
        <f t="shared" si="23"/>
        <v>4Q 2028</v>
      </c>
    </row>
    <row r="12" spans="1:24" ht="24.6" customHeight="1" thickBot="1" x14ac:dyDescent="0.35">
      <c r="A12" s="6" t="s">
        <v>21</v>
      </c>
      <c r="B12" s="6"/>
      <c r="C12" s="12"/>
      <c r="D12" s="6"/>
      <c r="E12" s="7" t="str">
        <f>+E$2</f>
        <v>1Q 2024</v>
      </c>
      <c r="F12" s="7" t="str">
        <f t="shared" ref="F12:X12" si="24">+F$2</f>
        <v>2Q 2024</v>
      </c>
      <c r="G12" s="7" t="str">
        <f t="shared" si="24"/>
        <v>3Q 2024</v>
      </c>
      <c r="H12" s="7" t="str">
        <f t="shared" si="24"/>
        <v>4Q 2024</v>
      </c>
      <c r="I12" s="7" t="str">
        <f t="shared" si="24"/>
        <v>1Q 2025</v>
      </c>
      <c r="J12" s="7" t="str">
        <f t="shared" si="24"/>
        <v>2Q 2025</v>
      </c>
      <c r="K12" s="7" t="str">
        <f t="shared" si="24"/>
        <v>3Q 2025</v>
      </c>
      <c r="L12" s="7" t="str">
        <f t="shared" si="24"/>
        <v>4Q 2025</v>
      </c>
      <c r="M12" s="7" t="str">
        <f t="shared" si="24"/>
        <v>1Q 2026</v>
      </c>
      <c r="N12" s="7" t="str">
        <f t="shared" si="24"/>
        <v>2Q 2026</v>
      </c>
      <c r="O12" s="7" t="str">
        <f t="shared" si="24"/>
        <v>3Q 2026</v>
      </c>
      <c r="P12" s="7" t="str">
        <f t="shared" si="24"/>
        <v>4Q 2026</v>
      </c>
      <c r="Q12" s="7" t="str">
        <f t="shared" si="24"/>
        <v>1Q 2027</v>
      </c>
      <c r="R12" s="7" t="str">
        <f t="shared" si="24"/>
        <v>2Q 2027</v>
      </c>
      <c r="S12" s="7" t="str">
        <f t="shared" si="24"/>
        <v>3Q 2027</v>
      </c>
      <c r="T12" s="7" t="str">
        <f t="shared" si="24"/>
        <v>4Q 2027</v>
      </c>
      <c r="U12" s="7" t="str">
        <f t="shared" si="24"/>
        <v>1Q 2028</v>
      </c>
      <c r="V12" s="7" t="str">
        <f t="shared" si="24"/>
        <v>2Q 2028</v>
      </c>
      <c r="W12" s="7" t="str">
        <f t="shared" si="24"/>
        <v>3Q 2028</v>
      </c>
      <c r="X12" s="7" t="str">
        <f t="shared" si="24"/>
        <v>4Q 2028</v>
      </c>
    </row>
    <row r="13" spans="1:24" ht="15" thickTop="1" x14ac:dyDescent="0.3"/>
    <row r="14" spans="1:24" x14ac:dyDescent="0.3">
      <c r="A14" t="s">
        <v>12</v>
      </c>
      <c r="C14" s="13" t="s">
        <v>11</v>
      </c>
    </row>
    <row r="16" spans="1:24" x14ac:dyDescent="0.3">
      <c r="A16" t="s">
        <v>13</v>
      </c>
      <c r="C16" s="11" t="s">
        <v>14</v>
      </c>
      <c r="E16" s="9">
        <v>0.04</v>
      </c>
      <c r="F16" s="9">
        <f>+E16</f>
        <v>0.04</v>
      </c>
      <c r="G16" s="9">
        <f t="shared" ref="G16:X16" si="25">+F16</f>
        <v>0.04</v>
      </c>
      <c r="H16" s="9">
        <f t="shared" si="25"/>
        <v>0.04</v>
      </c>
      <c r="I16" s="9">
        <f t="shared" si="25"/>
        <v>0.04</v>
      </c>
      <c r="J16" s="9">
        <f t="shared" si="25"/>
        <v>0.04</v>
      </c>
      <c r="K16" s="9">
        <f t="shared" si="25"/>
        <v>0.04</v>
      </c>
      <c r="L16" s="9">
        <f t="shared" si="25"/>
        <v>0.04</v>
      </c>
      <c r="M16" s="9">
        <f t="shared" si="25"/>
        <v>0.04</v>
      </c>
      <c r="N16" s="9">
        <f t="shared" si="25"/>
        <v>0.04</v>
      </c>
      <c r="O16" s="9">
        <f t="shared" si="25"/>
        <v>0.04</v>
      </c>
      <c r="P16" s="9">
        <f t="shared" si="25"/>
        <v>0.04</v>
      </c>
      <c r="Q16" s="9">
        <f>+P16</f>
        <v>0.04</v>
      </c>
      <c r="R16" s="9">
        <f t="shared" si="25"/>
        <v>0.04</v>
      </c>
      <c r="S16" s="9">
        <f t="shared" si="25"/>
        <v>0.04</v>
      </c>
      <c r="T16" s="9">
        <f t="shared" si="25"/>
        <v>0.04</v>
      </c>
      <c r="U16" s="9">
        <f t="shared" si="25"/>
        <v>0.04</v>
      </c>
      <c r="V16" s="9">
        <f t="shared" si="25"/>
        <v>0.04</v>
      </c>
      <c r="W16" s="9">
        <f t="shared" si="25"/>
        <v>0.04</v>
      </c>
      <c r="X16" s="9">
        <f t="shared" si="25"/>
        <v>0.04</v>
      </c>
    </row>
    <row r="17" spans="1:24" x14ac:dyDescent="0.3">
      <c r="A17" t="s">
        <v>15</v>
      </c>
      <c r="C17" s="11" t="s">
        <v>17</v>
      </c>
      <c r="E17">
        <v>1</v>
      </c>
      <c r="F17" s="10">
        <f>+(1+F16)^(F5/12)</f>
        <v>1.0098534065489688</v>
      </c>
      <c r="G17" s="10">
        <f t="shared" ref="G17:X17" si="26">+(1+G16)^(G5/12)</f>
        <v>1.0098534065489688</v>
      </c>
      <c r="H17" s="10">
        <f t="shared" si="26"/>
        <v>1.0098534065489688</v>
      </c>
      <c r="I17" s="10">
        <f t="shared" si="26"/>
        <v>1.0098534065489688</v>
      </c>
      <c r="J17" s="10">
        <f t="shared" si="26"/>
        <v>1.0098534065489688</v>
      </c>
      <c r="K17" s="10">
        <f t="shared" si="26"/>
        <v>1.0098534065489688</v>
      </c>
      <c r="L17" s="10">
        <f t="shared" si="26"/>
        <v>1.0098534065489688</v>
      </c>
      <c r="M17" s="10">
        <f t="shared" si="26"/>
        <v>1.0098534065489688</v>
      </c>
      <c r="N17" s="10">
        <f t="shared" si="26"/>
        <v>1.0098534065489688</v>
      </c>
      <c r="O17" s="10">
        <f t="shared" si="26"/>
        <v>1.0098534065489688</v>
      </c>
      <c r="P17" s="10">
        <f t="shared" si="26"/>
        <v>1.0098534065489688</v>
      </c>
      <c r="Q17" s="10">
        <f t="shared" si="26"/>
        <v>1.0098534065489688</v>
      </c>
      <c r="R17" s="10">
        <f t="shared" si="26"/>
        <v>1.0098534065489688</v>
      </c>
      <c r="S17" s="10">
        <f t="shared" si="26"/>
        <v>1.0098534065489688</v>
      </c>
      <c r="T17" s="10">
        <f t="shared" si="26"/>
        <v>1.0098534065489688</v>
      </c>
      <c r="U17" s="10">
        <f t="shared" si="26"/>
        <v>1.0098534065489688</v>
      </c>
      <c r="V17" s="10">
        <f t="shared" si="26"/>
        <v>1.0098534065489688</v>
      </c>
      <c r="W17" s="10">
        <f t="shared" si="26"/>
        <v>1.0098534065489688</v>
      </c>
      <c r="X17" s="10">
        <f t="shared" si="26"/>
        <v>1.0098534065489688</v>
      </c>
    </row>
    <row r="18" spans="1:24" x14ac:dyDescent="0.3">
      <c r="A18" t="s">
        <v>16</v>
      </c>
      <c r="C18" s="11" t="s">
        <v>17</v>
      </c>
      <c r="E18">
        <v>1</v>
      </c>
      <c r="F18" s="10">
        <f>+E18*F17</f>
        <v>1.0098534065489688</v>
      </c>
      <c r="G18" s="10">
        <f t="shared" ref="G18:X18" si="27">+F18*G17</f>
        <v>1.0198039027185568</v>
      </c>
      <c r="H18" s="10">
        <f t="shared" si="27"/>
        <v>1.0298524451722677</v>
      </c>
      <c r="I18" s="10">
        <f t="shared" si="27"/>
        <v>1.0399999999999996</v>
      </c>
      <c r="J18" s="10">
        <f t="shared" si="27"/>
        <v>1.0502475428109272</v>
      </c>
      <c r="K18" s="10">
        <f t="shared" si="27"/>
        <v>1.0605960588272989</v>
      </c>
      <c r="L18" s="10">
        <f t="shared" si="27"/>
        <v>1.0710465429791582</v>
      </c>
      <c r="M18" s="10">
        <f t="shared" si="27"/>
        <v>1.0815999999999995</v>
      </c>
      <c r="N18" s="10">
        <f t="shared" si="27"/>
        <v>1.0922574445233642</v>
      </c>
      <c r="O18" s="10">
        <f t="shared" si="27"/>
        <v>1.1030199011803907</v>
      </c>
      <c r="P18" s="10">
        <f t="shared" si="27"/>
        <v>1.1138884046983246</v>
      </c>
      <c r="Q18" s="10">
        <f t="shared" si="27"/>
        <v>1.1248639999999994</v>
      </c>
      <c r="R18" s="10">
        <f t="shared" si="27"/>
        <v>1.1359477423042987</v>
      </c>
      <c r="S18" s="10">
        <f t="shared" si="27"/>
        <v>1.1471406972276064</v>
      </c>
      <c r="T18" s="10">
        <f t="shared" si="27"/>
        <v>1.1584439408862575</v>
      </c>
      <c r="U18" s="10">
        <f t="shared" si="27"/>
        <v>1.1698585599999993</v>
      </c>
      <c r="V18" s="10">
        <f t="shared" si="27"/>
        <v>1.1813856519964705</v>
      </c>
      <c r="W18" s="10">
        <f t="shared" si="27"/>
        <v>1.1930263251167104</v>
      </c>
      <c r="X18" s="10">
        <f t="shared" si="27"/>
        <v>1.2047816985217075</v>
      </c>
    </row>
    <row r="21" spans="1:24" ht="25.05" customHeight="1" thickBot="1" x14ac:dyDescent="0.35">
      <c r="A21" s="6" t="s">
        <v>22</v>
      </c>
      <c r="B21" s="6"/>
      <c r="C21" s="12"/>
      <c r="D21" s="6"/>
      <c r="E21" s="7" t="str">
        <f>+E$2</f>
        <v>1Q 2024</v>
      </c>
      <c r="F21" s="7" t="str">
        <f t="shared" ref="F21:X21" si="28">+F$2</f>
        <v>2Q 2024</v>
      </c>
      <c r="G21" s="7" t="str">
        <f t="shared" si="28"/>
        <v>3Q 2024</v>
      </c>
      <c r="H21" s="7" t="str">
        <f t="shared" si="28"/>
        <v>4Q 2024</v>
      </c>
      <c r="I21" s="7" t="str">
        <f t="shared" si="28"/>
        <v>1Q 2025</v>
      </c>
      <c r="J21" s="7" t="str">
        <f t="shared" si="28"/>
        <v>2Q 2025</v>
      </c>
      <c r="K21" s="7" t="str">
        <f t="shared" si="28"/>
        <v>3Q 2025</v>
      </c>
      <c r="L21" s="7" t="str">
        <f t="shared" si="28"/>
        <v>4Q 2025</v>
      </c>
      <c r="M21" s="7" t="str">
        <f t="shared" si="28"/>
        <v>1Q 2026</v>
      </c>
      <c r="N21" s="7" t="str">
        <f t="shared" si="28"/>
        <v>2Q 2026</v>
      </c>
      <c r="O21" s="7" t="str">
        <f t="shared" si="28"/>
        <v>3Q 2026</v>
      </c>
      <c r="P21" s="7" t="str">
        <f t="shared" si="28"/>
        <v>4Q 2026</v>
      </c>
      <c r="Q21" s="7" t="str">
        <f t="shared" si="28"/>
        <v>1Q 2027</v>
      </c>
      <c r="R21" s="7" t="str">
        <f t="shared" si="28"/>
        <v>2Q 2027</v>
      </c>
      <c r="S21" s="7" t="str">
        <f t="shared" si="28"/>
        <v>3Q 2027</v>
      </c>
      <c r="T21" s="7" t="str">
        <f t="shared" si="28"/>
        <v>4Q 2027</v>
      </c>
      <c r="U21" s="7" t="str">
        <f t="shared" si="28"/>
        <v>1Q 2028</v>
      </c>
      <c r="V21" s="7" t="str">
        <f t="shared" si="28"/>
        <v>2Q 2028</v>
      </c>
      <c r="W21" s="7" t="str">
        <f t="shared" si="28"/>
        <v>3Q 2028</v>
      </c>
      <c r="X21" s="7" t="str">
        <f t="shared" si="28"/>
        <v>4Q 2028</v>
      </c>
    </row>
    <row r="22" spans="1:24" ht="15" thickTop="1" x14ac:dyDescent="0.3"/>
    <row r="23" spans="1:24" x14ac:dyDescent="0.3">
      <c r="A23" t="s">
        <v>19</v>
      </c>
      <c r="C23" s="11" t="s">
        <v>14</v>
      </c>
      <c r="E23" s="9">
        <v>0.2</v>
      </c>
      <c r="F23" s="9">
        <f t="shared" ref="F23:X23" si="29">+E23</f>
        <v>0.2</v>
      </c>
      <c r="G23" s="9">
        <f t="shared" si="29"/>
        <v>0.2</v>
      </c>
      <c r="H23" s="9">
        <f t="shared" si="29"/>
        <v>0.2</v>
      </c>
      <c r="I23" s="9">
        <f t="shared" si="29"/>
        <v>0.2</v>
      </c>
      <c r="J23" s="9">
        <f t="shared" si="29"/>
        <v>0.2</v>
      </c>
      <c r="K23" s="9">
        <f t="shared" si="29"/>
        <v>0.2</v>
      </c>
      <c r="L23" s="9">
        <f t="shared" si="29"/>
        <v>0.2</v>
      </c>
      <c r="M23" s="9">
        <f t="shared" si="29"/>
        <v>0.2</v>
      </c>
      <c r="N23" s="9">
        <f t="shared" si="29"/>
        <v>0.2</v>
      </c>
      <c r="O23" s="9">
        <f t="shared" si="29"/>
        <v>0.2</v>
      </c>
      <c r="P23" s="9">
        <f t="shared" si="29"/>
        <v>0.2</v>
      </c>
      <c r="Q23" s="9">
        <f t="shared" si="29"/>
        <v>0.2</v>
      </c>
      <c r="R23" s="9">
        <f t="shared" si="29"/>
        <v>0.2</v>
      </c>
      <c r="S23" s="9">
        <f t="shared" si="29"/>
        <v>0.2</v>
      </c>
      <c r="T23" s="9">
        <f t="shared" si="29"/>
        <v>0.2</v>
      </c>
      <c r="U23" s="9">
        <f t="shared" si="29"/>
        <v>0.2</v>
      </c>
      <c r="V23" s="9">
        <f t="shared" si="29"/>
        <v>0.2</v>
      </c>
      <c r="W23" s="9">
        <f t="shared" si="29"/>
        <v>0.2</v>
      </c>
      <c r="X23" s="9">
        <f t="shared" si="29"/>
        <v>0.2</v>
      </c>
    </row>
    <row r="24" spans="1:24" x14ac:dyDescent="0.3">
      <c r="A24" t="s">
        <v>18</v>
      </c>
      <c r="C24" s="11" t="s">
        <v>14</v>
      </c>
      <c r="E24" s="9">
        <v>2.1999999999999999E-2</v>
      </c>
      <c r="F24" s="9">
        <f t="shared" ref="F24:X24" si="30">+E24</f>
        <v>2.1999999999999999E-2</v>
      </c>
      <c r="G24" s="9">
        <f t="shared" si="30"/>
        <v>2.1999999999999999E-2</v>
      </c>
      <c r="H24" s="9">
        <f t="shared" si="30"/>
        <v>2.1999999999999999E-2</v>
      </c>
      <c r="I24" s="9">
        <f t="shared" si="30"/>
        <v>2.1999999999999999E-2</v>
      </c>
      <c r="J24" s="9">
        <f t="shared" si="30"/>
        <v>2.1999999999999999E-2</v>
      </c>
      <c r="K24" s="9">
        <f t="shared" si="30"/>
        <v>2.1999999999999999E-2</v>
      </c>
      <c r="L24" s="9">
        <f t="shared" si="30"/>
        <v>2.1999999999999999E-2</v>
      </c>
      <c r="M24" s="9">
        <f t="shared" si="30"/>
        <v>2.1999999999999999E-2</v>
      </c>
      <c r="N24" s="9">
        <f t="shared" si="30"/>
        <v>2.1999999999999999E-2</v>
      </c>
      <c r="O24" s="9">
        <f t="shared" si="30"/>
        <v>2.1999999999999999E-2</v>
      </c>
      <c r="P24" s="9">
        <f t="shared" si="30"/>
        <v>2.1999999999999999E-2</v>
      </c>
      <c r="Q24" s="9">
        <f t="shared" si="30"/>
        <v>2.1999999999999999E-2</v>
      </c>
      <c r="R24" s="9">
        <f t="shared" si="30"/>
        <v>2.1999999999999999E-2</v>
      </c>
      <c r="S24" s="9">
        <f t="shared" si="30"/>
        <v>2.1999999999999999E-2</v>
      </c>
      <c r="T24" s="9">
        <f t="shared" si="30"/>
        <v>2.1999999999999999E-2</v>
      </c>
      <c r="U24" s="9">
        <f t="shared" si="30"/>
        <v>2.1999999999999999E-2</v>
      </c>
      <c r="V24" s="9">
        <f t="shared" si="30"/>
        <v>2.1999999999999999E-2</v>
      </c>
      <c r="W24" s="9">
        <f t="shared" si="30"/>
        <v>2.1999999999999999E-2</v>
      </c>
      <c r="X24" s="9">
        <f t="shared" si="30"/>
        <v>2.1999999999999999E-2</v>
      </c>
    </row>
    <row r="25" spans="1:24" x14ac:dyDescent="0.3">
      <c r="A25" t="s">
        <v>20</v>
      </c>
      <c r="C25" s="11" t="s">
        <v>14</v>
      </c>
      <c r="E25" s="9">
        <v>0.3</v>
      </c>
      <c r="F25" s="9">
        <f t="shared" ref="F25:X25" si="31">+E25</f>
        <v>0.3</v>
      </c>
      <c r="G25" s="9">
        <f t="shared" si="31"/>
        <v>0.3</v>
      </c>
      <c r="H25" s="9">
        <f t="shared" si="31"/>
        <v>0.3</v>
      </c>
      <c r="I25" s="9">
        <f t="shared" si="31"/>
        <v>0.3</v>
      </c>
      <c r="J25" s="9">
        <f t="shared" si="31"/>
        <v>0.3</v>
      </c>
      <c r="K25" s="9">
        <f t="shared" si="31"/>
        <v>0.3</v>
      </c>
      <c r="L25" s="9">
        <f t="shared" si="31"/>
        <v>0.3</v>
      </c>
      <c r="M25" s="9">
        <f t="shared" si="31"/>
        <v>0.3</v>
      </c>
      <c r="N25" s="9">
        <f t="shared" si="31"/>
        <v>0.3</v>
      </c>
      <c r="O25" s="9">
        <f t="shared" si="31"/>
        <v>0.3</v>
      </c>
      <c r="P25" s="9">
        <f t="shared" si="31"/>
        <v>0.3</v>
      </c>
      <c r="Q25" s="9">
        <f t="shared" si="31"/>
        <v>0.3</v>
      </c>
      <c r="R25" s="9">
        <f t="shared" si="31"/>
        <v>0.3</v>
      </c>
      <c r="S25" s="9">
        <f t="shared" si="31"/>
        <v>0.3</v>
      </c>
      <c r="T25" s="9">
        <f t="shared" si="31"/>
        <v>0.3</v>
      </c>
      <c r="U25" s="9">
        <f t="shared" si="31"/>
        <v>0.3</v>
      </c>
      <c r="V25" s="9">
        <f t="shared" si="31"/>
        <v>0.3</v>
      </c>
      <c r="W25" s="9">
        <f t="shared" si="31"/>
        <v>0.3</v>
      </c>
      <c r="X25" s="9">
        <f t="shared" si="31"/>
        <v>0.3</v>
      </c>
    </row>
  </sheetData>
  <mergeCells count="1">
    <mergeCell ref="A1:A2"/>
  </mergeCells>
  <dataValidations count="1">
    <dataValidation type="list" allowBlank="1" showInputMessage="1" showErrorMessage="1" sqref="B5" xr:uid="{9A323AAE-B1FD-410D-AF9A-DBAB0BAEF483}">
      <formula1>"3,12"</formula1>
    </dataValidation>
  </dataValidations>
  <pageMargins left="0.7" right="0.7" top="0.75" bottom="0.75" header="0.3" footer="0.3"/>
  <pageSetup orientation="portrait" horizontalDpi="300" verticalDpi="300" r:id="rId1"/>
  <ignoredErrors>
    <ignoredError sqref="F16:X16 F23:X25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6423-42BC-4662-8D9B-5F3842AA7801}">
  <dimension ref="A1:X195"/>
  <sheetViews>
    <sheetView showGridLines="0" zoomScale="70" zoomScaleNormal="70" workbookViewId="0">
      <pane xSplit="4" ySplit="2" topLeftCell="E3" activePane="bottomRight" state="frozen"/>
      <selection activeCell="B5" sqref="B5"/>
      <selection pane="topRight" activeCell="B5" sqref="B5"/>
      <selection pane="bottomLeft" activeCell="B5" sqref="B5"/>
      <selection pane="bottomRight" activeCell="E176" sqref="E176"/>
    </sheetView>
  </sheetViews>
  <sheetFormatPr defaultRowHeight="14.4" x14ac:dyDescent="0.3"/>
  <cols>
    <col min="1" max="1" width="35.77734375" customWidth="1"/>
    <col min="2" max="3" width="10.77734375" customWidth="1"/>
    <col min="4" max="4" width="1.5546875" customWidth="1"/>
    <col min="5" max="6" width="10.77734375" bestFit="1" customWidth="1"/>
    <col min="7" max="12" width="13.88671875" bestFit="1" customWidth="1"/>
    <col min="13" max="13" width="10.77734375" customWidth="1"/>
    <col min="14" max="24" width="13.88671875" bestFit="1" customWidth="1"/>
  </cols>
  <sheetData>
    <row r="1" spans="1:24" x14ac:dyDescent="0.3">
      <c r="A1" s="70" t="s">
        <v>7</v>
      </c>
      <c r="E1" s="4">
        <f>+Macro!E1</f>
        <v>1</v>
      </c>
      <c r="F1" s="4">
        <f>+Macro!F1</f>
        <v>2</v>
      </c>
      <c r="G1" s="4">
        <f>+Macro!G1</f>
        <v>3</v>
      </c>
      <c r="H1" s="4">
        <f>+Macro!H1</f>
        <v>4</v>
      </c>
      <c r="I1" s="4">
        <f>+Macro!I1</f>
        <v>5</v>
      </c>
      <c r="J1" s="4">
        <f>+Macro!J1</f>
        <v>6</v>
      </c>
      <c r="K1" s="4">
        <f>+Macro!K1</f>
        <v>7</v>
      </c>
      <c r="L1" s="4">
        <f>+Macro!L1</f>
        <v>8</v>
      </c>
      <c r="M1" s="4">
        <f>+Macro!M1</f>
        <v>9</v>
      </c>
      <c r="N1" s="4">
        <f>+Macro!N1</f>
        <v>10</v>
      </c>
      <c r="O1" s="4">
        <f>+Macro!O1</f>
        <v>11</v>
      </c>
      <c r="P1" s="4">
        <f>+Macro!P1</f>
        <v>12</v>
      </c>
      <c r="Q1" s="4">
        <f>+Macro!Q1</f>
        <v>13</v>
      </c>
      <c r="R1" s="4">
        <f>+Macro!R1</f>
        <v>14</v>
      </c>
      <c r="S1" s="4">
        <f>+Macro!S1</f>
        <v>15</v>
      </c>
      <c r="T1" s="4">
        <f>+Macro!T1</f>
        <v>16</v>
      </c>
      <c r="U1" s="4">
        <f>+Macro!U1</f>
        <v>17</v>
      </c>
      <c r="V1" s="4">
        <f>+Macro!V1</f>
        <v>18</v>
      </c>
      <c r="W1" s="4">
        <f>+Macro!W1</f>
        <v>19</v>
      </c>
      <c r="X1" s="4">
        <f>+Macro!X1</f>
        <v>20</v>
      </c>
    </row>
    <row r="2" spans="1:24" x14ac:dyDescent="0.3">
      <c r="A2" s="70"/>
      <c r="E2" s="8" t="str">
        <f>+Macro!E2</f>
        <v>1Q 2024</v>
      </c>
      <c r="F2" s="8" t="str">
        <f>+Macro!F2</f>
        <v>2Q 2024</v>
      </c>
      <c r="G2" s="8" t="str">
        <f>+Macro!G2</f>
        <v>3Q 2024</v>
      </c>
      <c r="H2" s="8" t="str">
        <f>+Macro!H2</f>
        <v>4Q 2024</v>
      </c>
      <c r="I2" s="8" t="str">
        <f>+Macro!I2</f>
        <v>1Q 2025</v>
      </c>
      <c r="J2" s="8" t="str">
        <f>+Macro!J2</f>
        <v>2Q 2025</v>
      </c>
      <c r="K2" s="8" t="str">
        <f>+Macro!K2</f>
        <v>3Q 2025</v>
      </c>
      <c r="L2" s="8" t="str">
        <f>+Macro!L2</f>
        <v>4Q 2025</v>
      </c>
      <c r="M2" s="8" t="str">
        <f>+Macro!M2</f>
        <v>1Q 2026</v>
      </c>
      <c r="N2" s="8" t="str">
        <f>+Macro!N2</f>
        <v>2Q 2026</v>
      </c>
      <c r="O2" s="8" t="str">
        <f>+Macro!O2</f>
        <v>3Q 2026</v>
      </c>
      <c r="P2" s="8" t="str">
        <f>+Macro!P2</f>
        <v>4Q 2026</v>
      </c>
      <c r="Q2" s="8" t="str">
        <f>+Macro!Q2</f>
        <v>1Q 2027</v>
      </c>
      <c r="R2" s="8" t="str">
        <f>+Macro!R2</f>
        <v>2Q 2027</v>
      </c>
      <c r="S2" s="8" t="str">
        <f>+Macro!S2</f>
        <v>3Q 2027</v>
      </c>
      <c r="T2" s="8" t="str">
        <f>+Macro!T2</f>
        <v>4Q 2027</v>
      </c>
      <c r="U2" s="8" t="str">
        <f>+Macro!U2</f>
        <v>1Q 2028</v>
      </c>
      <c r="V2" s="8" t="str">
        <f>+Macro!V2</f>
        <v>2Q 2028</v>
      </c>
      <c r="W2" s="8" t="str">
        <f>+Macro!W2</f>
        <v>3Q 2028</v>
      </c>
      <c r="X2" s="8" t="str">
        <f>+Macro!X2</f>
        <v>4Q 2028</v>
      </c>
    </row>
    <row r="4" spans="1:24" ht="24.6" customHeight="1" thickBot="1" x14ac:dyDescent="0.35">
      <c r="A4" s="6" t="s">
        <v>23</v>
      </c>
      <c r="B4" s="6"/>
      <c r="C4" s="6"/>
      <c r="D4" s="6"/>
      <c r="E4" s="7" t="str">
        <f t="shared" ref="E4:X4" si="0">+E$2</f>
        <v>1Q 2024</v>
      </c>
      <c r="F4" s="7" t="str">
        <f t="shared" si="0"/>
        <v>2Q 2024</v>
      </c>
      <c r="G4" s="7" t="str">
        <f t="shared" si="0"/>
        <v>3Q 2024</v>
      </c>
      <c r="H4" s="7" t="str">
        <f t="shared" si="0"/>
        <v>4Q 2024</v>
      </c>
      <c r="I4" s="7" t="str">
        <f t="shared" si="0"/>
        <v>1Q 2025</v>
      </c>
      <c r="J4" s="7" t="str">
        <f t="shared" si="0"/>
        <v>2Q 2025</v>
      </c>
      <c r="K4" s="7" t="str">
        <f t="shared" si="0"/>
        <v>3Q 2025</v>
      </c>
      <c r="L4" s="7" t="str">
        <f t="shared" si="0"/>
        <v>4Q 2025</v>
      </c>
      <c r="M4" s="7" t="str">
        <f t="shared" si="0"/>
        <v>1Q 2026</v>
      </c>
      <c r="N4" s="7" t="str">
        <f t="shared" si="0"/>
        <v>2Q 2026</v>
      </c>
      <c r="O4" s="7" t="str">
        <f t="shared" si="0"/>
        <v>3Q 2026</v>
      </c>
      <c r="P4" s="7" t="str">
        <f t="shared" si="0"/>
        <v>4Q 2026</v>
      </c>
      <c r="Q4" s="7" t="str">
        <f t="shared" si="0"/>
        <v>1Q 2027</v>
      </c>
      <c r="R4" s="7" t="str">
        <f t="shared" si="0"/>
        <v>2Q 2027</v>
      </c>
      <c r="S4" s="7" t="str">
        <f t="shared" si="0"/>
        <v>3Q 2027</v>
      </c>
      <c r="T4" s="7" t="str">
        <f t="shared" si="0"/>
        <v>4Q 2027</v>
      </c>
      <c r="U4" s="7" t="str">
        <f t="shared" si="0"/>
        <v>1Q 2028</v>
      </c>
      <c r="V4" s="7" t="str">
        <f t="shared" si="0"/>
        <v>2Q 2028</v>
      </c>
      <c r="W4" s="7" t="str">
        <f t="shared" si="0"/>
        <v>3Q 2028</v>
      </c>
      <c r="X4" s="7" t="str">
        <f t="shared" si="0"/>
        <v>4Q 2028</v>
      </c>
    </row>
    <row r="5" spans="1:24" ht="15" thickTop="1" x14ac:dyDescent="0.3"/>
    <row r="6" spans="1:24" x14ac:dyDescent="0.3">
      <c r="A6" t="s">
        <v>24</v>
      </c>
      <c r="C6" t="s">
        <v>14</v>
      </c>
      <c r="E6" s="15">
        <v>0</v>
      </c>
      <c r="F6" s="15">
        <v>0</v>
      </c>
      <c r="G6" s="15">
        <v>1</v>
      </c>
      <c r="H6" s="15">
        <f>+G6</f>
        <v>1</v>
      </c>
      <c r="I6" s="15">
        <f t="shared" ref="I6:X6" si="1">+H6</f>
        <v>1</v>
      </c>
      <c r="J6" s="15">
        <f t="shared" si="1"/>
        <v>1</v>
      </c>
      <c r="K6" s="15">
        <f t="shared" si="1"/>
        <v>1</v>
      </c>
      <c r="L6" s="15">
        <f t="shared" si="1"/>
        <v>1</v>
      </c>
      <c r="M6" s="15">
        <f t="shared" si="1"/>
        <v>1</v>
      </c>
      <c r="N6" s="15">
        <f t="shared" si="1"/>
        <v>1</v>
      </c>
      <c r="O6" s="15">
        <f t="shared" si="1"/>
        <v>1</v>
      </c>
      <c r="P6" s="15">
        <f t="shared" si="1"/>
        <v>1</v>
      </c>
      <c r="Q6" s="15">
        <f t="shared" si="1"/>
        <v>1</v>
      </c>
      <c r="R6" s="15">
        <f t="shared" si="1"/>
        <v>1</v>
      </c>
      <c r="S6" s="15">
        <f t="shared" si="1"/>
        <v>1</v>
      </c>
      <c r="T6" s="15">
        <f t="shared" si="1"/>
        <v>1</v>
      </c>
      <c r="U6" s="15">
        <f t="shared" si="1"/>
        <v>1</v>
      </c>
      <c r="V6" s="15">
        <f t="shared" si="1"/>
        <v>1</v>
      </c>
      <c r="W6" s="15">
        <f t="shared" si="1"/>
        <v>1</v>
      </c>
      <c r="X6" s="15">
        <f t="shared" si="1"/>
        <v>1</v>
      </c>
    </row>
    <row r="8" spans="1:24" x14ac:dyDescent="0.3">
      <c r="A8" s="16" t="s">
        <v>25</v>
      </c>
    </row>
    <row r="9" spans="1:24" x14ac:dyDescent="0.3">
      <c r="A9" t="s">
        <v>26</v>
      </c>
      <c r="B9" s="19">
        <f>+'Scenario Analysis'!B9</f>
        <v>2000</v>
      </c>
      <c r="C9" s="1" t="s">
        <v>27</v>
      </c>
      <c r="E9" s="14">
        <f>+'Scenario Analysis'!E9</f>
        <v>0</v>
      </c>
      <c r="F9" s="14">
        <f>+'Scenario Analysis'!F9</f>
        <v>0</v>
      </c>
      <c r="G9" s="14">
        <f>+'Scenario Analysis'!G9</f>
        <v>1</v>
      </c>
      <c r="H9" s="14">
        <f>+'Scenario Analysis'!H9</f>
        <v>1</v>
      </c>
      <c r="I9" s="14">
        <f>+'Scenario Analysis'!I9</f>
        <v>1</v>
      </c>
      <c r="J9" s="14">
        <f>+'Scenario Analysis'!J9</f>
        <v>1</v>
      </c>
      <c r="K9" s="14">
        <f>+'Scenario Analysis'!K9</f>
        <v>1</v>
      </c>
      <c r="L9" s="14">
        <f>+'Scenario Analysis'!L9</f>
        <v>1</v>
      </c>
      <c r="M9" s="14">
        <f>+'Scenario Analysis'!M9</f>
        <v>1</v>
      </c>
      <c r="N9" s="14">
        <f>+'Scenario Analysis'!N9</f>
        <v>1</v>
      </c>
      <c r="O9" s="14">
        <f>+'Scenario Analysis'!O9</f>
        <v>1</v>
      </c>
      <c r="P9" s="14">
        <f>+'Scenario Analysis'!P9</f>
        <v>1</v>
      </c>
      <c r="Q9" s="14">
        <f>+'Scenario Analysis'!Q9</f>
        <v>1</v>
      </c>
      <c r="R9" s="14">
        <f>+'Scenario Analysis'!R9</f>
        <v>1</v>
      </c>
      <c r="S9" s="14">
        <f>+'Scenario Analysis'!S9</f>
        <v>1</v>
      </c>
      <c r="T9" s="14">
        <f>+'Scenario Analysis'!T9</f>
        <v>1</v>
      </c>
      <c r="U9" s="14">
        <f>+'Scenario Analysis'!U9</f>
        <v>1</v>
      </c>
      <c r="V9" s="14">
        <f>+'Scenario Analysis'!V9</f>
        <v>1</v>
      </c>
      <c r="W9" s="14">
        <f>+'Scenario Analysis'!W9</f>
        <v>1</v>
      </c>
      <c r="X9" s="14">
        <f>+'Scenario Analysis'!X9</f>
        <v>1</v>
      </c>
    </row>
    <row r="10" spans="1:24" x14ac:dyDescent="0.3">
      <c r="A10" t="s">
        <v>28</v>
      </c>
      <c r="C10" s="1" t="s">
        <v>27</v>
      </c>
      <c r="E10">
        <f t="shared" ref="E10:X10" si="2">+$B9*E9</f>
        <v>0</v>
      </c>
      <c r="F10">
        <f t="shared" si="2"/>
        <v>0</v>
      </c>
      <c r="G10">
        <f t="shared" si="2"/>
        <v>2000</v>
      </c>
      <c r="H10">
        <f t="shared" si="2"/>
        <v>2000</v>
      </c>
      <c r="I10">
        <f t="shared" si="2"/>
        <v>2000</v>
      </c>
      <c r="J10">
        <f t="shared" si="2"/>
        <v>2000</v>
      </c>
      <c r="K10">
        <f t="shared" si="2"/>
        <v>2000</v>
      </c>
      <c r="L10">
        <f t="shared" si="2"/>
        <v>2000</v>
      </c>
      <c r="M10">
        <f t="shared" si="2"/>
        <v>2000</v>
      </c>
      <c r="N10">
        <f t="shared" si="2"/>
        <v>2000</v>
      </c>
      <c r="O10">
        <f t="shared" si="2"/>
        <v>2000</v>
      </c>
      <c r="P10">
        <f t="shared" si="2"/>
        <v>2000</v>
      </c>
      <c r="Q10">
        <f t="shared" si="2"/>
        <v>2000</v>
      </c>
      <c r="R10">
        <f t="shared" si="2"/>
        <v>2000</v>
      </c>
      <c r="S10">
        <f t="shared" si="2"/>
        <v>2000</v>
      </c>
      <c r="T10">
        <f t="shared" si="2"/>
        <v>2000</v>
      </c>
      <c r="U10">
        <f t="shared" si="2"/>
        <v>2000</v>
      </c>
      <c r="V10">
        <f t="shared" si="2"/>
        <v>2000</v>
      </c>
      <c r="W10">
        <f t="shared" si="2"/>
        <v>2000</v>
      </c>
      <c r="X10">
        <f t="shared" si="2"/>
        <v>2000</v>
      </c>
    </row>
    <row r="11" spans="1:24" x14ac:dyDescent="0.3">
      <c r="A11" t="s">
        <v>29</v>
      </c>
      <c r="B11">
        <f>+'Scenario Analysis'!B30</f>
        <v>115</v>
      </c>
      <c r="C11" s="1" t="str">
        <f>+Currency</f>
        <v>Rub '000'</v>
      </c>
      <c r="E11" s="20">
        <f>+$B$11*Macro!E18</f>
        <v>115</v>
      </c>
      <c r="F11" s="20">
        <f>+$B$11*Macro!F18</f>
        <v>116.13314175313141</v>
      </c>
      <c r="G11" s="20">
        <f>+$B$11*Macro!G18</f>
        <v>117.27744881263403</v>
      </c>
      <c r="H11" s="20">
        <f>+$B$11*Macro!H18</f>
        <v>118.43303119481078</v>
      </c>
      <c r="I11" s="20">
        <f>+$B$11*Macro!I18</f>
        <v>119.59999999999995</v>
      </c>
      <c r="J11" s="20">
        <f>+$B$11*Macro!J18</f>
        <v>120.77846742325663</v>
      </c>
      <c r="K11" s="20">
        <f>+$B$11*Macro!K18</f>
        <v>121.96854676513938</v>
      </c>
      <c r="L11" s="20">
        <f>+$B$11*Macro!L18</f>
        <v>123.1703524426032</v>
      </c>
      <c r="M11" s="20">
        <f>+$B$11*Macro!M18</f>
        <v>124.38399999999994</v>
      </c>
      <c r="N11" s="20">
        <f>+$B$11*Macro!N18</f>
        <v>125.60960612018688</v>
      </c>
      <c r="O11" s="20">
        <f>+$B$11*Macro!O18</f>
        <v>126.84728863574493</v>
      </c>
      <c r="P11" s="20">
        <f>+$B$11*Macro!P18</f>
        <v>128.09716654030734</v>
      </c>
      <c r="Q11" s="20">
        <f>+$B$11*Macro!Q18</f>
        <v>129.35935999999992</v>
      </c>
      <c r="R11" s="20">
        <f>+$B$11*Macro!R18</f>
        <v>130.63399036499436</v>
      </c>
      <c r="S11" s="20">
        <f>+$B$11*Macro!S18</f>
        <v>131.92118018117472</v>
      </c>
      <c r="T11" s="20">
        <f>+$B$11*Macro!T18</f>
        <v>133.2210532019196</v>
      </c>
      <c r="U11" s="20">
        <f>+$B$11*Macro!U18</f>
        <v>134.53373439999993</v>
      </c>
      <c r="V11" s="20">
        <f>+$B$11*Macro!V18</f>
        <v>135.8593499795941</v>
      </c>
      <c r="W11" s="20">
        <f>+$B$11*Macro!W18</f>
        <v>137.19802738842168</v>
      </c>
      <c r="X11" s="20">
        <f>+$B$11*Macro!X18</f>
        <v>138.54989532999636</v>
      </c>
    </row>
    <row r="12" spans="1:24" x14ac:dyDescent="0.3">
      <c r="A12" t="s">
        <v>30</v>
      </c>
      <c r="C12" s="1" t="str">
        <f>+Currency</f>
        <v>Rub '000'</v>
      </c>
      <c r="E12" s="19">
        <f>+E11*E10</f>
        <v>0</v>
      </c>
      <c r="F12" s="19">
        <f>+F11*F10</f>
        <v>0</v>
      </c>
      <c r="G12" s="19">
        <f>+G11*G10</f>
        <v>234554.89762526806</v>
      </c>
      <c r="H12" s="19">
        <f>+H11*H10</f>
        <v>236866.06238962157</v>
      </c>
      <c r="I12" s="19">
        <f t="shared" ref="I12" si="3">+I11*I10</f>
        <v>239199.99999999991</v>
      </c>
      <c r="J12" s="19">
        <f t="shared" ref="J12:K12" si="4">+J11*J10</f>
        <v>241556.93484651326</v>
      </c>
      <c r="K12" s="19">
        <f t="shared" si="4"/>
        <v>243937.09353027877</v>
      </c>
      <c r="L12" s="19">
        <f t="shared" ref="L12" si="5">+L11*L10</f>
        <v>246340.70488520642</v>
      </c>
      <c r="M12" s="19">
        <f t="shared" ref="M12:N12" si="6">+M11*M10</f>
        <v>248767.99999999988</v>
      </c>
      <c r="N12" s="19">
        <f t="shared" si="6"/>
        <v>251219.21224037377</v>
      </c>
      <c r="O12" s="19">
        <f t="shared" ref="O12" si="7">+O11*O10</f>
        <v>253694.57727148986</v>
      </c>
      <c r="P12" s="19">
        <f t="shared" ref="P12:Q12" si="8">+P11*P10</f>
        <v>256194.33308061468</v>
      </c>
      <c r="Q12" s="19">
        <f t="shared" si="8"/>
        <v>258718.71999999986</v>
      </c>
      <c r="R12" s="19">
        <f t="shared" ref="R12" si="9">+R11*R10</f>
        <v>261267.98072998872</v>
      </c>
      <c r="S12" s="19">
        <f t="shared" ref="S12:T12" si="10">+S11*S10</f>
        <v>263842.36036234943</v>
      </c>
      <c r="T12" s="19">
        <f t="shared" si="10"/>
        <v>266442.10640383919</v>
      </c>
      <c r="U12" s="19">
        <f t="shared" ref="U12" si="11">+U11*U10</f>
        <v>269067.46879999986</v>
      </c>
      <c r="V12" s="19">
        <f t="shared" ref="V12:W12" si="12">+V11*V10</f>
        <v>271718.69995918818</v>
      </c>
      <c r="W12" s="19">
        <f t="shared" si="12"/>
        <v>274396.05477684335</v>
      </c>
      <c r="X12" s="19">
        <f t="shared" ref="X12" si="13">+X11*X10</f>
        <v>277099.79065999272</v>
      </c>
    </row>
    <row r="14" spans="1:24" x14ac:dyDescent="0.3">
      <c r="A14" s="16" t="s">
        <v>31</v>
      </c>
    </row>
    <row r="15" spans="1:24" x14ac:dyDescent="0.3">
      <c r="A15" t="s">
        <v>26</v>
      </c>
      <c r="B15" s="19">
        <f>+'Scenario Analysis'!B10</f>
        <v>1200</v>
      </c>
      <c r="C15" s="1" t="s">
        <v>27</v>
      </c>
      <c r="E15" s="14">
        <f>+'Scenario Analysis'!E10</f>
        <v>0</v>
      </c>
      <c r="F15" s="14">
        <f>+'Scenario Analysis'!F10</f>
        <v>0</v>
      </c>
      <c r="G15" s="14">
        <f>+'Scenario Analysis'!G10</f>
        <v>1</v>
      </c>
      <c r="H15" s="14">
        <f>+'Scenario Analysis'!H10</f>
        <v>1</v>
      </c>
      <c r="I15" s="14">
        <f>+'Scenario Analysis'!I10</f>
        <v>1</v>
      </c>
      <c r="J15" s="14">
        <f>+'Scenario Analysis'!J10</f>
        <v>1</v>
      </c>
      <c r="K15" s="14">
        <f>+'Scenario Analysis'!K10</f>
        <v>1</v>
      </c>
      <c r="L15" s="14">
        <f>+'Scenario Analysis'!L10</f>
        <v>1</v>
      </c>
      <c r="M15" s="14">
        <f>+'Scenario Analysis'!M10</f>
        <v>1</v>
      </c>
      <c r="N15" s="14">
        <f>+'Scenario Analysis'!N10</f>
        <v>1</v>
      </c>
      <c r="O15" s="14">
        <f>+'Scenario Analysis'!O10</f>
        <v>1</v>
      </c>
      <c r="P15" s="14">
        <f>+'Scenario Analysis'!P10</f>
        <v>1</v>
      </c>
      <c r="Q15" s="14">
        <f>+'Scenario Analysis'!Q10</f>
        <v>1</v>
      </c>
      <c r="R15" s="14">
        <f>+'Scenario Analysis'!R10</f>
        <v>1</v>
      </c>
      <c r="S15" s="14">
        <f>+'Scenario Analysis'!S10</f>
        <v>1</v>
      </c>
      <c r="T15" s="14">
        <f>+'Scenario Analysis'!T10</f>
        <v>1</v>
      </c>
      <c r="U15" s="14">
        <f>+'Scenario Analysis'!U10</f>
        <v>1</v>
      </c>
      <c r="V15" s="14">
        <f>+'Scenario Analysis'!V10</f>
        <v>1</v>
      </c>
      <c r="W15" s="14">
        <f>+'Scenario Analysis'!W10</f>
        <v>1</v>
      </c>
      <c r="X15" s="14">
        <f>+'Scenario Analysis'!X10</f>
        <v>1</v>
      </c>
    </row>
    <row r="16" spans="1:24" x14ac:dyDescent="0.3">
      <c r="A16" t="s">
        <v>28</v>
      </c>
      <c r="C16" t="s">
        <v>27</v>
      </c>
      <c r="E16">
        <f t="shared" ref="E16:X16" si="14">+$B15*E15</f>
        <v>0</v>
      </c>
      <c r="F16">
        <f t="shared" si="14"/>
        <v>0</v>
      </c>
      <c r="G16">
        <f t="shared" si="14"/>
        <v>1200</v>
      </c>
      <c r="H16">
        <f t="shared" si="14"/>
        <v>1200</v>
      </c>
      <c r="I16">
        <f t="shared" si="14"/>
        <v>1200</v>
      </c>
      <c r="J16">
        <f t="shared" si="14"/>
        <v>1200</v>
      </c>
      <c r="K16">
        <f t="shared" si="14"/>
        <v>1200</v>
      </c>
      <c r="L16">
        <f t="shared" si="14"/>
        <v>1200</v>
      </c>
      <c r="M16">
        <f t="shared" si="14"/>
        <v>1200</v>
      </c>
      <c r="N16">
        <f t="shared" si="14"/>
        <v>1200</v>
      </c>
      <c r="O16">
        <f t="shared" si="14"/>
        <v>1200</v>
      </c>
      <c r="P16">
        <f t="shared" si="14"/>
        <v>1200</v>
      </c>
      <c r="Q16">
        <f t="shared" si="14"/>
        <v>1200</v>
      </c>
      <c r="R16">
        <f t="shared" si="14"/>
        <v>1200</v>
      </c>
      <c r="S16">
        <f t="shared" si="14"/>
        <v>1200</v>
      </c>
      <c r="T16">
        <f t="shared" si="14"/>
        <v>1200</v>
      </c>
      <c r="U16">
        <f t="shared" si="14"/>
        <v>1200</v>
      </c>
      <c r="V16">
        <f t="shared" si="14"/>
        <v>1200</v>
      </c>
      <c r="W16">
        <f t="shared" si="14"/>
        <v>1200</v>
      </c>
      <c r="X16">
        <f t="shared" si="14"/>
        <v>1200</v>
      </c>
    </row>
    <row r="17" spans="1:24" x14ac:dyDescent="0.3">
      <c r="A17" t="s">
        <v>29</v>
      </c>
      <c r="B17">
        <v>175</v>
      </c>
      <c r="C17" t="str">
        <f>+Currency</f>
        <v>Rub '000'</v>
      </c>
      <c r="E17" s="20">
        <f>+$B$17*Macro!E18</f>
        <v>175</v>
      </c>
      <c r="F17" s="20">
        <f>+$B$17*Macro!F18</f>
        <v>176.72434614606954</v>
      </c>
      <c r="G17" s="20">
        <f>+$B$17*Macro!G18</f>
        <v>178.46568297574746</v>
      </c>
      <c r="H17" s="20">
        <f>+$B$17*Macro!H18</f>
        <v>180.22417790514686</v>
      </c>
      <c r="I17" s="20">
        <f>+$B$17*Macro!I18</f>
        <v>181.99999999999991</v>
      </c>
      <c r="J17" s="20">
        <f>+$B$17*Macro!J18</f>
        <v>183.79331999191226</v>
      </c>
      <c r="K17" s="20">
        <f>+$B$17*Macro!K18</f>
        <v>185.60431029477732</v>
      </c>
      <c r="L17" s="20">
        <f>+$B$17*Macro!L18</f>
        <v>187.43314502135269</v>
      </c>
      <c r="M17" s="20">
        <f>+$B$17*Macro!M18</f>
        <v>189.27999999999992</v>
      </c>
      <c r="N17" s="20">
        <f>+$B$17*Macro!N18</f>
        <v>191.14505279158874</v>
      </c>
      <c r="O17" s="20">
        <f>+$B$17*Macro!O18</f>
        <v>193.02848270656838</v>
      </c>
      <c r="P17" s="20">
        <f>+$B$17*Macro!P18</f>
        <v>194.93047082220681</v>
      </c>
      <c r="Q17" s="20">
        <f>+$B$17*Macro!Q18</f>
        <v>196.85119999999989</v>
      </c>
      <c r="R17" s="20">
        <f>+$B$17*Macro!R18</f>
        <v>198.79085490325227</v>
      </c>
      <c r="S17" s="20">
        <f>+$B$17*Macro!S18</f>
        <v>200.74962201483112</v>
      </c>
      <c r="T17" s="20">
        <f>+$B$17*Macro!T18</f>
        <v>202.72768965509505</v>
      </c>
      <c r="U17" s="20">
        <f>+$B$17*Macro!U18</f>
        <v>204.72524799999988</v>
      </c>
      <c r="V17" s="20">
        <f>+$B$17*Macro!V18</f>
        <v>206.74248909938234</v>
      </c>
      <c r="W17" s="20">
        <f>+$B$17*Macro!W18</f>
        <v>208.77960689542431</v>
      </c>
      <c r="X17" s="20">
        <f>+$B$17*Macro!X18</f>
        <v>210.8367972412988</v>
      </c>
    </row>
    <row r="18" spans="1:24" x14ac:dyDescent="0.3">
      <c r="A18" t="s">
        <v>30</v>
      </c>
      <c r="C18" t="str">
        <f>+Currency</f>
        <v>Rub '000'</v>
      </c>
      <c r="E18" s="19">
        <f>+E17*E16</f>
        <v>0</v>
      </c>
      <c r="F18" s="19">
        <f>+F17*F16</f>
        <v>0</v>
      </c>
      <c r="G18" s="19">
        <f>+G17*G16</f>
        <v>214158.81957089694</v>
      </c>
      <c r="H18" s="19">
        <f t="shared" ref="H18" si="15">+H17*H16</f>
        <v>216269.01348617623</v>
      </c>
      <c r="I18" s="19">
        <f t="shared" ref="I18" si="16">+I17*I16</f>
        <v>218399.99999999988</v>
      </c>
      <c r="J18" s="19">
        <f t="shared" ref="J18" si="17">+J17*J16</f>
        <v>220551.98399029471</v>
      </c>
      <c r="K18" s="19">
        <f t="shared" ref="K18" si="18">+K17*K16</f>
        <v>222725.17235373278</v>
      </c>
      <c r="L18" s="19">
        <f t="shared" ref="L18" si="19">+L17*L16</f>
        <v>224919.77402562322</v>
      </c>
      <c r="M18" s="19">
        <f t="shared" ref="M18" si="20">+M17*M16</f>
        <v>227135.99999999991</v>
      </c>
      <c r="N18" s="19">
        <f t="shared" ref="N18" si="21">+N17*N16</f>
        <v>229374.0633499065</v>
      </c>
      <c r="O18" s="19">
        <f t="shared" ref="O18" si="22">+O17*O16</f>
        <v>231634.17924788207</v>
      </c>
      <c r="P18" s="19">
        <f t="shared" ref="P18" si="23">+P17*P16</f>
        <v>233916.56498664818</v>
      </c>
      <c r="Q18" s="19">
        <f t="shared" ref="Q18" si="24">+Q17*Q16</f>
        <v>236221.43999999986</v>
      </c>
      <c r="R18" s="19">
        <f t="shared" ref="R18" si="25">+R17*R16</f>
        <v>238549.02588390271</v>
      </c>
      <c r="S18" s="19">
        <f t="shared" ref="S18" si="26">+S17*S16</f>
        <v>240899.54641779733</v>
      </c>
      <c r="T18" s="19">
        <f t="shared" ref="T18" si="27">+T17*T16</f>
        <v>243273.22758611405</v>
      </c>
      <c r="U18" s="19">
        <f t="shared" ref="U18" si="28">+U17*U16</f>
        <v>245670.29759999985</v>
      </c>
      <c r="V18" s="19">
        <f t="shared" ref="V18" si="29">+V17*V16</f>
        <v>248090.98691925881</v>
      </c>
      <c r="W18" s="19">
        <f t="shared" ref="W18" si="30">+W17*W16</f>
        <v>250535.52827450918</v>
      </c>
      <c r="X18" s="19">
        <f t="shared" ref="X18" si="31">+X17*X16</f>
        <v>253004.15668955856</v>
      </c>
    </row>
    <row r="19" spans="1:24" x14ac:dyDescent="0.3">
      <c r="A19" s="16" t="s">
        <v>32</v>
      </c>
    </row>
    <row r="20" spans="1:24" x14ac:dyDescent="0.3">
      <c r="A20" s="21" t="s">
        <v>33</v>
      </c>
      <c r="C20" t="str">
        <f>+Currency</f>
        <v>Rub '000'</v>
      </c>
      <c r="E20" s="22">
        <f t="shared" ref="E20:X20" si="32">+E18+E12</f>
        <v>0</v>
      </c>
      <c r="F20" s="22">
        <f t="shared" si="32"/>
        <v>0</v>
      </c>
      <c r="G20" s="22">
        <f t="shared" si="32"/>
        <v>448713.717196165</v>
      </c>
      <c r="H20" s="22">
        <f t="shared" si="32"/>
        <v>453135.07587579777</v>
      </c>
      <c r="I20" s="22">
        <f t="shared" si="32"/>
        <v>457599.99999999977</v>
      </c>
      <c r="J20" s="22">
        <f t="shared" si="32"/>
        <v>462108.91883680795</v>
      </c>
      <c r="K20" s="22">
        <f t="shared" si="32"/>
        <v>466662.26588401152</v>
      </c>
      <c r="L20" s="22">
        <f t="shared" si="32"/>
        <v>471260.47891082964</v>
      </c>
      <c r="M20" s="22">
        <f t="shared" si="32"/>
        <v>475903.99999999977</v>
      </c>
      <c r="N20" s="22">
        <f t="shared" si="32"/>
        <v>480593.2755902803</v>
      </c>
      <c r="O20" s="22">
        <f t="shared" si="32"/>
        <v>485328.75651937193</v>
      </c>
      <c r="P20" s="22">
        <f t="shared" si="32"/>
        <v>490110.89806726284</v>
      </c>
      <c r="Q20" s="22">
        <f t="shared" si="32"/>
        <v>494940.15999999968</v>
      </c>
      <c r="R20" s="22">
        <f t="shared" si="32"/>
        <v>499817.00661389146</v>
      </c>
      <c r="S20" s="22">
        <f t="shared" si="32"/>
        <v>504741.90678014676</v>
      </c>
      <c r="T20" s="22">
        <f t="shared" si="32"/>
        <v>509715.33398995327</v>
      </c>
      <c r="U20" s="22">
        <f t="shared" si="32"/>
        <v>514737.76639999973</v>
      </c>
      <c r="V20" s="22">
        <f t="shared" si="32"/>
        <v>519809.68687844696</v>
      </c>
      <c r="W20" s="22">
        <f t="shared" si="32"/>
        <v>524931.58305135253</v>
      </c>
      <c r="X20" s="22">
        <f t="shared" si="32"/>
        <v>530103.94734955125</v>
      </c>
    </row>
    <row r="24" spans="1:24" ht="15" thickBot="1" x14ac:dyDescent="0.35">
      <c r="A24" s="6" t="s">
        <v>34</v>
      </c>
      <c r="B24" s="6"/>
      <c r="C24" s="6"/>
      <c r="D24" s="6"/>
      <c r="E24" s="7" t="str">
        <f t="shared" ref="E24:X24" si="33">+E$2</f>
        <v>1Q 2024</v>
      </c>
      <c r="F24" s="7" t="str">
        <f t="shared" si="33"/>
        <v>2Q 2024</v>
      </c>
      <c r="G24" s="7" t="str">
        <f t="shared" si="33"/>
        <v>3Q 2024</v>
      </c>
      <c r="H24" s="7" t="str">
        <f t="shared" si="33"/>
        <v>4Q 2024</v>
      </c>
      <c r="I24" s="7" t="str">
        <f t="shared" si="33"/>
        <v>1Q 2025</v>
      </c>
      <c r="J24" s="7" t="str">
        <f t="shared" si="33"/>
        <v>2Q 2025</v>
      </c>
      <c r="K24" s="7" t="str">
        <f t="shared" si="33"/>
        <v>3Q 2025</v>
      </c>
      <c r="L24" s="7" t="str">
        <f t="shared" si="33"/>
        <v>4Q 2025</v>
      </c>
      <c r="M24" s="7" t="str">
        <f t="shared" si="33"/>
        <v>1Q 2026</v>
      </c>
      <c r="N24" s="7" t="str">
        <f t="shared" si="33"/>
        <v>2Q 2026</v>
      </c>
      <c r="O24" s="7" t="str">
        <f t="shared" si="33"/>
        <v>3Q 2026</v>
      </c>
      <c r="P24" s="7" t="str">
        <f t="shared" si="33"/>
        <v>4Q 2026</v>
      </c>
      <c r="Q24" s="7" t="str">
        <f t="shared" si="33"/>
        <v>1Q 2027</v>
      </c>
      <c r="R24" s="7" t="str">
        <f t="shared" si="33"/>
        <v>2Q 2027</v>
      </c>
      <c r="S24" s="7" t="str">
        <f t="shared" si="33"/>
        <v>3Q 2027</v>
      </c>
      <c r="T24" s="7" t="str">
        <f t="shared" si="33"/>
        <v>4Q 2027</v>
      </c>
      <c r="U24" s="7" t="str">
        <f t="shared" si="33"/>
        <v>1Q 2028</v>
      </c>
      <c r="V24" s="7" t="str">
        <f t="shared" si="33"/>
        <v>2Q 2028</v>
      </c>
      <c r="W24" s="7" t="str">
        <f t="shared" si="33"/>
        <v>3Q 2028</v>
      </c>
      <c r="X24" s="7" t="str">
        <f t="shared" si="33"/>
        <v>4Q 2028</v>
      </c>
    </row>
    <row r="25" spans="1:24" ht="15" thickTop="1" x14ac:dyDescent="0.3"/>
    <row r="26" spans="1:24" x14ac:dyDescent="0.3">
      <c r="A26" s="27" t="s">
        <v>35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x14ac:dyDescent="0.3">
      <c r="A27" s="26" t="s">
        <v>28</v>
      </c>
      <c r="B27" s="26"/>
      <c r="C27" s="26" t="s">
        <v>27</v>
      </c>
      <c r="D27" s="26"/>
      <c r="E27" s="26">
        <f t="shared" ref="E27:X27" si="34">+E10</f>
        <v>0</v>
      </c>
      <c r="F27" s="26">
        <f t="shared" si="34"/>
        <v>0</v>
      </c>
      <c r="G27" s="26">
        <f t="shared" si="34"/>
        <v>2000</v>
      </c>
      <c r="H27" s="26">
        <f t="shared" si="34"/>
        <v>2000</v>
      </c>
      <c r="I27" s="26">
        <f t="shared" si="34"/>
        <v>2000</v>
      </c>
      <c r="J27" s="26">
        <f t="shared" si="34"/>
        <v>2000</v>
      </c>
      <c r="K27" s="26">
        <f t="shared" si="34"/>
        <v>2000</v>
      </c>
      <c r="L27" s="26">
        <f t="shared" si="34"/>
        <v>2000</v>
      </c>
      <c r="M27" s="26">
        <f t="shared" si="34"/>
        <v>2000</v>
      </c>
      <c r="N27" s="26">
        <f t="shared" si="34"/>
        <v>2000</v>
      </c>
      <c r="O27" s="26">
        <f t="shared" si="34"/>
        <v>2000</v>
      </c>
      <c r="P27" s="26">
        <f t="shared" si="34"/>
        <v>2000</v>
      </c>
      <c r="Q27" s="26">
        <f t="shared" si="34"/>
        <v>2000</v>
      </c>
      <c r="R27" s="26">
        <f t="shared" si="34"/>
        <v>2000</v>
      </c>
      <c r="S27" s="26">
        <f t="shared" si="34"/>
        <v>2000</v>
      </c>
      <c r="T27" s="26">
        <f t="shared" si="34"/>
        <v>2000</v>
      </c>
      <c r="U27" s="26">
        <f t="shared" si="34"/>
        <v>2000</v>
      </c>
      <c r="V27" s="26">
        <f t="shared" si="34"/>
        <v>2000</v>
      </c>
      <c r="W27" s="26">
        <f t="shared" si="34"/>
        <v>2000</v>
      </c>
      <c r="X27" s="26">
        <f t="shared" si="34"/>
        <v>2000</v>
      </c>
    </row>
    <row r="28" spans="1:24" x14ac:dyDescent="0.3">
      <c r="A28" s="23" t="s">
        <v>36</v>
      </c>
    </row>
    <row r="29" spans="1:24" x14ac:dyDescent="0.3">
      <c r="A29" s="24" t="s">
        <v>37</v>
      </c>
      <c r="B29">
        <v>0.53</v>
      </c>
      <c r="C29" t="s">
        <v>27</v>
      </c>
      <c r="E29">
        <f t="shared" ref="E29:X29" si="35">+$B29*E$27</f>
        <v>0</v>
      </c>
      <c r="F29">
        <f t="shared" si="35"/>
        <v>0</v>
      </c>
      <c r="G29">
        <f t="shared" si="35"/>
        <v>1060</v>
      </c>
      <c r="H29">
        <f t="shared" si="35"/>
        <v>1060</v>
      </c>
      <c r="I29">
        <f t="shared" si="35"/>
        <v>1060</v>
      </c>
      <c r="J29">
        <f t="shared" si="35"/>
        <v>1060</v>
      </c>
      <c r="K29">
        <f t="shared" si="35"/>
        <v>1060</v>
      </c>
      <c r="L29">
        <f t="shared" si="35"/>
        <v>1060</v>
      </c>
      <c r="M29">
        <f t="shared" si="35"/>
        <v>1060</v>
      </c>
      <c r="N29">
        <f t="shared" si="35"/>
        <v>1060</v>
      </c>
      <c r="O29">
        <f t="shared" si="35"/>
        <v>1060</v>
      </c>
      <c r="P29">
        <f t="shared" si="35"/>
        <v>1060</v>
      </c>
      <c r="Q29">
        <f t="shared" si="35"/>
        <v>1060</v>
      </c>
      <c r="R29">
        <f t="shared" si="35"/>
        <v>1060</v>
      </c>
      <c r="S29">
        <f t="shared" si="35"/>
        <v>1060</v>
      </c>
      <c r="T29">
        <f t="shared" si="35"/>
        <v>1060</v>
      </c>
      <c r="U29">
        <f t="shared" si="35"/>
        <v>1060</v>
      </c>
      <c r="V29">
        <f t="shared" si="35"/>
        <v>1060</v>
      </c>
      <c r="W29">
        <f t="shared" si="35"/>
        <v>1060</v>
      </c>
      <c r="X29">
        <f t="shared" si="35"/>
        <v>1060</v>
      </c>
    </row>
    <row r="30" spans="1:24" x14ac:dyDescent="0.3">
      <c r="A30" s="24" t="s">
        <v>38</v>
      </c>
      <c r="B30" s="25">
        <v>35</v>
      </c>
      <c r="C30" t="str">
        <f>+Currency</f>
        <v>Rub '000'</v>
      </c>
      <c r="E30" s="18">
        <f>+$B30*Macro!E$18</f>
        <v>35</v>
      </c>
      <c r="F30" s="18">
        <f>+$B30*Macro!F$18</f>
        <v>35.344869229213906</v>
      </c>
      <c r="G30" s="18">
        <f>+$B30*Macro!G$18</f>
        <v>35.69313659514949</v>
      </c>
      <c r="H30" s="18">
        <f>+$B30*Macro!H$18</f>
        <v>36.044835581029368</v>
      </c>
      <c r="I30" s="18">
        <f>+$B30*Macro!I$18</f>
        <v>36.399999999999984</v>
      </c>
      <c r="J30" s="18">
        <f>+$B30*Macro!J$18</f>
        <v>36.758663998382453</v>
      </c>
      <c r="K30" s="18">
        <f>+$B30*Macro!K$18</f>
        <v>37.12086205895546</v>
      </c>
      <c r="L30" s="18">
        <f>+$B30*Macro!L$18</f>
        <v>37.48662900427054</v>
      </c>
      <c r="M30" s="18">
        <f>+$B30*Macro!M$18</f>
        <v>37.85599999999998</v>
      </c>
      <c r="N30" s="18">
        <f>+$B30*Macro!N$18</f>
        <v>38.229010558317746</v>
      </c>
      <c r="O30" s="18">
        <f>+$B30*Macro!O$18</f>
        <v>38.605696541313677</v>
      </c>
      <c r="P30" s="18">
        <f>+$B30*Macro!P$18</f>
        <v>38.986094164441361</v>
      </c>
      <c r="Q30" s="18">
        <f>+$B30*Macro!Q$18</f>
        <v>39.370239999999981</v>
      </c>
      <c r="R30" s="18">
        <f>+$B30*Macro!R$18</f>
        <v>39.758170980650455</v>
      </c>
      <c r="S30" s="18">
        <f>+$B30*Macro!S$18</f>
        <v>40.149924402966221</v>
      </c>
      <c r="T30" s="18">
        <f>+$B30*Macro!T$18</f>
        <v>40.545537931019012</v>
      </c>
      <c r="U30" s="18">
        <f>+$B30*Macro!U$18</f>
        <v>40.945049599999976</v>
      </c>
      <c r="V30" s="18">
        <f>+$B30*Macro!V$18</f>
        <v>41.348497819876471</v>
      </c>
      <c r="W30" s="18">
        <f>+$B30*Macro!W$18</f>
        <v>41.75592137908486</v>
      </c>
      <c r="X30" s="18">
        <f>+$B30*Macro!X$18</f>
        <v>42.167359448259759</v>
      </c>
    </row>
    <row r="31" spans="1:24" x14ac:dyDescent="0.3">
      <c r="A31" s="24" t="s">
        <v>39</v>
      </c>
      <c r="C31" t="str">
        <f>+Currency</f>
        <v>Rub '000'</v>
      </c>
      <c r="D31" t="s">
        <v>42</v>
      </c>
      <c r="E31" s="19">
        <f t="shared" ref="E31:X31" si="36">+E30*E29</f>
        <v>0</v>
      </c>
      <c r="F31" s="19">
        <f t="shared" si="36"/>
        <v>0</v>
      </c>
      <c r="G31" s="19">
        <f t="shared" si="36"/>
        <v>37834.724790858461</v>
      </c>
      <c r="H31" s="19">
        <f t="shared" si="36"/>
        <v>38207.525715891126</v>
      </c>
      <c r="I31" s="19">
        <f t="shared" si="36"/>
        <v>38583.999999999985</v>
      </c>
      <c r="J31" s="19">
        <f t="shared" si="36"/>
        <v>38964.183838285397</v>
      </c>
      <c r="K31" s="19">
        <f t="shared" si="36"/>
        <v>39348.113782492786</v>
      </c>
      <c r="L31" s="19">
        <f t="shared" si="36"/>
        <v>39735.82674452677</v>
      </c>
      <c r="M31" s="19">
        <f t="shared" si="36"/>
        <v>40127.359999999979</v>
      </c>
      <c r="N31" s="19">
        <f t="shared" si="36"/>
        <v>40522.751191816809</v>
      </c>
      <c r="O31" s="19">
        <f t="shared" si="36"/>
        <v>40922.038333792494</v>
      </c>
      <c r="P31" s="19">
        <f t="shared" si="36"/>
        <v>41325.259814307843</v>
      </c>
      <c r="Q31" s="19">
        <f t="shared" si="36"/>
        <v>41732.454399999981</v>
      </c>
      <c r="R31" s="19">
        <f t="shared" si="36"/>
        <v>42143.661239489484</v>
      </c>
      <c r="S31" s="19">
        <f t="shared" si="36"/>
        <v>42558.919867144192</v>
      </c>
      <c r="T31" s="19">
        <f t="shared" si="36"/>
        <v>42978.270206880152</v>
      </c>
      <c r="U31" s="19">
        <f t="shared" si="36"/>
        <v>43401.752575999977</v>
      </c>
      <c r="V31" s="19">
        <f t="shared" si="36"/>
        <v>43829.407689069056</v>
      </c>
      <c r="W31" s="19">
        <f t="shared" si="36"/>
        <v>44261.27666182995</v>
      </c>
      <c r="X31" s="19">
        <f t="shared" si="36"/>
        <v>44697.401015155345</v>
      </c>
    </row>
    <row r="32" spans="1:24" x14ac:dyDescent="0.3">
      <c r="A32" s="23" t="s">
        <v>40</v>
      </c>
    </row>
    <row r="33" spans="1:24" x14ac:dyDescent="0.3">
      <c r="A33" s="24" t="s">
        <v>37</v>
      </c>
      <c r="B33">
        <v>0.53</v>
      </c>
      <c r="C33" t="s">
        <v>27</v>
      </c>
      <c r="E33" s="22">
        <f t="shared" ref="E33:X33" si="37">+$B33*E$27</f>
        <v>0</v>
      </c>
      <c r="F33" s="22">
        <f t="shared" si="37"/>
        <v>0</v>
      </c>
      <c r="G33" s="22">
        <f t="shared" si="37"/>
        <v>1060</v>
      </c>
      <c r="H33" s="22">
        <f t="shared" si="37"/>
        <v>1060</v>
      </c>
      <c r="I33" s="22">
        <f t="shared" si="37"/>
        <v>1060</v>
      </c>
      <c r="J33" s="22">
        <f t="shared" si="37"/>
        <v>1060</v>
      </c>
      <c r="K33" s="22">
        <f t="shared" si="37"/>
        <v>1060</v>
      </c>
      <c r="L33" s="22">
        <f t="shared" si="37"/>
        <v>1060</v>
      </c>
      <c r="M33" s="22">
        <f t="shared" si="37"/>
        <v>1060</v>
      </c>
      <c r="N33" s="22">
        <f t="shared" si="37"/>
        <v>1060</v>
      </c>
      <c r="O33" s="22">
        <f t="shared" si="37"/>
        <v>1060</v>
      </c>
      <c r="P33" s="22">
        <f t="shared" si="37"/>
        <v>1060</v>
      </c>
      <c r="Q33" s="22">
        <f t="shared" si="37"/>
        <v>1060</v>
      </c>
      <c r="R33" s="22">
        <f t="shared" si="37"/>
        <v>1060</v>
      </c>
      <c r="S33" s="22">
        <f t="shared" si="37"/>
        <v>1060</v>
      </c>
      <c r="T33" s="22">
        <f t="shared" si="37"/>
        <v>1060</v>
      </c>
      <c r="U33" s="22">
        <f t="shared" si="37"/>
        <v>1060</v>
      </c>
      <c r="V33" s="22">
        <f t="shared" si="37"/>
        <v>1060</v>
      </c>
      <c r="W33" s="22">
        <f t="shared" si="37"/>
        <v>1060</v>
      </c>
      <c r="X33" s="22">
        <f t="shared" si="37"/>
        <v>1060</v>
      </c>
    </row>
    <row r="34" spans="1:24" x14ac:dyDescent="0.3">
      <c r="A34" s="24" t="s">
        <v>38</v>
      </c>
      <c r="B34" s="25">
        <v>26</v>
      </c>
      <c r="C34" t="str">
        <f>+Currency</f>
        <v>Rub '000'</v>
      </c>
      <c r="E34" s="18">
        <f>+$B34*Macro!E$18</f>
        <v>26</v>
      </c>
      <c r="F34" s="18">
        <f>+$B34*Macro!F$18</f>
        <v>26.256188570273189</v>
      </c>
      <c r="G34" s="18">
        <f>+$B34*Macro!G$18</f>
        <v>26.514901470682478</v>
      </c>
      <c r="H34" s="18">
        <f>+$B34*Macro!H$18</f>
        <v>26.776163574478961</v>
      </c>
      <c r="I34" s="18">
        <f>+$B34*Macro!I$18</f>
        <v>27.039999999999988</v>
      </c>
      <c r="J34" s="18">
        <f>+$B34*Macro!J$18</f>
        <v>27.306436113084107</v>
      </c>
      <c r="K34" s="18">
        <f>+$B34*Macro!K$18</f>
        <v>27.575497529509772</v>
      </c>
      <c r="L34" s="18">
        <f>+$B34*Macro!L$18</f>
        <v>27.847210117458115</v>
      </c>
      <c r="M34" s="18">
        <f>+$B34*Macro!M$18</f>
        <v>28.121599999999987</v>
      </c>
      <c r="N34" s="18">
        <f>+$B34*Macro!N$18</f>
        <v>28.398693557607469</v>
      </c>
      <c r="O34" s="18">
        <f>+$B34*Macro!O$18</f>
        <v>28.67851743069016</v>
      </c>
      <c r="P34" s="18">
        <f>+$B34*Macro!P$18</f>
        <v>28.961098522156441</v>
      </c>
      <c r="Q34" s="18">
        <f>+$B34*Macro!Q$18</f>
        <v>29.246463999999985</v>
      </c>
      <c r="R34" s="18">
        <f>+$B34*Macro!R$18</f>
        <v>29.534641299911769</v>
      </c>
      <c r="S34" s="18">
        <f>+$B34*Macro!S$18</f>
        <v>29.825658127917766</v>
      </c>
      <c r="T34" s="18">
        <f>+$B34*Macro!T$18</f>
        <v>30.119542463042695</v>
      </c>
      <c r="U34" s="18">
        <f>+$B34*Macro!U$18</f>
        <v>30.416322559999983</v>
      </c>
      <c r="V34" s="18">
        <f>+$B34*Macro!V$18</f>
        <v>30.716026951908233</v>
      </c>
      <c r="W34" s="18">
        <f>+$B34*Macro!W$18</f>
        <v>31.018684453034471</v>
      </c>
      <c r="X34" s="18">
        <f>+$B34*Macro!X$18</f>
        <v>31.324324161564395</v>
      </c>
    </row>
    <row r="35" spans="1:24" x14ac:dyDescent="0.3">
      <c r="A35" s="24" t="s">
        <v>39</v>
      </c>
      <c r="C35" t="str">
        <f>+Currency</f>
        <v>Rub '000'</v>
      </c>
      <c r="D35" t="s">
        <v>42</v>
      </c>
      <c r="E35" s="19">
        <f>+E34*E33</f>
        <v>0</v>
      </c>
      <c r="F35" s="19">
        <f>+F34*F33</f>
        <v>0</v>
      </c>
      <c r="G35" s="19">
        <f>+G34*G33</f>
        <v>28105.795558923426</v>
      </c>
      <c r="H35" s="19">
        <f>+H34*H33</f>
        <v>28382.733388947698</v>
      </c>
      <c r="I35" s="19">
        <f t="shared" ref="I35" si="38">+I34*I33</f>
        <v>28662.399999999987</v>
      </c>
      <c r="J35" s="19">
        <f t="shared" ref="J35:K35" si="39">+J34*J33</f>
        <v>28944.822279869153</v>
      </c>
      <c r="K35" s="19">
        <f t="shared" si="39"/>
        <v>29230.027381280357</v>
      </c>
      <c r="L35" s="19">
        <f t="shared" ref="L35" si="40">+L34*L33</f>
        <v>29518.042724505602</v>
      </c>
      <c r="M35" s="19">
        <f t="shared" ref="M35:N35" si="41">+M34*M33</f>
        <v>29808.895999999986</v>
      </c>
      <c r="N35" s="19">
        <f t="shared" si="41"/>
        <v>30102.615171063917</v>
      </c>
      <c r="O35" s="19">
        <f t="shared" ref="O35" si="42">+O34*O33</f>
        <v>30399.228476531571</v>
      </c>
      <c r="P35" s="19">
        <f t="shared" ref="P35:Q35" si="43">+P34*P33</f>
        <v>30698.764433485827</v>
      </c>
      <c r="Q35" s="19">
        <f t="shared" si="43"/>
        <v>31001.251839999986</v>
      </c>
      <c r="R35" s="19">
        <f t="shared" ref="R35" si="44">+R34*R33</f>
        <v>31306.719777906474</v>
      </c>
      <c r="S35" s="19">
        <f t="shared" ref="S35:T35" si="45">+S34*S33</f>
        <v>31615.197615592831</v>
      </c>
      <c r="T35" s="19">
        <f t="shared" si="45"/>
        <v>31926.715010825257</v>
      </c>
      <c r="U35" s="19">
        <f t="shared" ref="U35" si="46">+U34*U33</f>
        <v>32241.301913599982</v>
      </c>
      <c r="V35" s="19">
        <f t="shared" ref="V35:W35" si="47">+V34*V33</f>
        <v>32558.988569022727</v>
      </c>
      <c r="W35" s="19">
        <f t="shared" si="47"/>
        <v>32879.805520216541</v>
      </c>
      <c r="X35" s="19">
        <f t="shared" ref="X35" si="48">+X34*X33</f>
        <v>33203.783611258259</v>
      </c>
    </row>
    <row r="36" spans="1:24" x14ac:dyDescent="0.3">
      <c r="A36" s="23" t="s">
        <v>41</v>
      </c>
    </row>
    <row r="37" spans="1:24" x14ac:dyDescent="0.3">
      <c r="A37" s="24" t="s">
        <v>37</v>
      </c>
      <c r="B37">
        <v>0.05</v>
      </c>
      <c r="C37" t="s">
        <v>27</v>
      </c>
      <c r="E37" s="22">
        <f t="shared" ref="E37:X37" si="49">+$B37*E$27</f>
        <v>0</v>
      </c>
      <c r="F37" s="22">
        <f t="shared" si="49"/>
        <v>0</v>
      </c>
      <c r="G37" s="22">
        <f t="shared" si="49"/>
        <v>100</v>
      </c>
      <c r="H37" s="22">
        <f t="shared" si="49"/>
        <v>100</v>
      </c>
      <c r="I37" s="22">
        <f t="shared" si="49"/>
        <v>100</v>
      </c>
      <c r="J37" s="22">
        <f t="shared" si="49"/>
        <v>100</v>
      </c>
      <c r="K37" s="22">
        <f t="shared" si="49"/>
        <v>100</v>
      </c>
      <c r="L37" s="22">
        <f t="shared" si="49"/>
        <v>100</v>
      </c>
      <c r="M37" s="22">
        <f t="shared" si="49"/>
        <v>100</v>
      </c>
      <c r="N37" s="22">
        <f t="shared" si="49"/>
        <v>100</v>
      </c>
      <c r="O37" s="22">
        <f t="shared" si="49"/>
        <v>100</v>
      </c>
      <c r="P37" s="22">
        <f t="shared" si="49"/>
        <v>100</v>
      </c>
      <c r="Q37" s="22">
        <f t="shared" si="49"/>
        <v>100</v>
      </c>
      <c r="R37" s="22">
        <f t="shared" si="49"/>
        <v>100</v>
      </c>
      <c r="S37" s="22">
        <f t="shared" si="49"/>
        <v>100</v>
      </c>
      <c r="T37" s="22">
        <f t="shared" si="49"/>
        <v>100</v>
      </c>
      <c r="U37" s="22">
        <f t="shared" si="49"/>
        <v>100</v>
      </c>
      <c r="V37" s="22">
        <f t="shared" si="49"/>
        <v>100</v>
      </c>
      <c r="W37" s="22">
        <f t="shared" si="49"/>
        <v>100</v>
      </c>
      <c r="X37" s="22">
        <f t="shared" si="49"/>
        <v>100</v>
      </c>
    </row>
    <row r="38" spans="1:24" x14ac:dyDescent="0.3">
      <c r="A38" s="24" t="s">
        <v>38</v>
      </c>
      <c r="B38" s="25">
        <v>383</v>
      </c>
      <c r="C38" t="str">
        <f>+Currency</f>
        <v>Rub '000'</v>
      </c>
      <c r="E38" s="18">
        <f>+$B38*Macro!E$18</f>
        <v>383</v>
      </c>
      <c r="F38" s="18">
        <f>+$B38*Macro!F$18</f>
        <v>386.77385470825504</v>
      </c>
      <c r="G38" s="18">
        <f>+$B38*Macro!G$18</f>
        <v>390.58489474120728</v>
      </c>
      <c r="H38" s="18">
        <f>+$B38*Macro!H$18</f>
        <v>394.43348650097852</v>
      </c>
      <c r="I38" s="18">
        <f>+$B38*Macro!I$18</f>
        <v>398.31999999999982</v>
      </c>
      <c r="J38" s="18">
        <f>+$B38*Macro!J$18</f>
        <v>402.24480889658514</v>
      </c>
      <c r="K38" s="18">
        <f>+$B38*Macro!K$18</f>
        <v>406.20829053085549</v>
      </c>
      <c r="L38" s="18">
        <f>+$B38*Macro!L$18</f>
        <v>410.21082596101763</v>
      </c>
      <c r="M38" s="18">
        <f>+$B38*Macro!M$18</f>
        <v>414.25279999999981</v>
      </c>
      <c r="N38" s="18">
        <f>+$B38*Macro!N$18</f>
        <v>418.33460125244846</v>
      </c>
      <c r="O38" s="18">
        <f>+$B38*Macro!O$18</f>
        <v>422.45662215208966</v>
      </c>
      <c r="P38" s="18">
        <f>+$B38*Macro!P$18</f>
        <v>426.61925899945834</v>
      </c>
      <c r="Q38" s="18">
        <f>+$B38*Macro!Q$18</f>
        <v>430.8229119999998</v>
      </c>
      <c r="R38" s="18">
        <f>+$B38*Macro!R$18</f>
        <v>435.06798530254639</v>
      </c>
      <c r="S38" s="18">
        <f>+$B38*Macro!S$18</f>
        <v>439.35488703817322</v>
      </c>
      <c r="T38" s="18">
        <f>+$B38*Macro!T$18</f>
        <v>443.68402935943664</v>
      </c>
      <c r="U38" s="18">
        <f>+$B38*Macro!U$18</f>
        <v>448.05582847999972</v>
      </c>
      <c r="V38" s="18">
        <f>+$B38*Macro!V$18</f>
        <v>452.47070471464821</v>
      </c>
      <c r="W38" s="18">
        <f>+$B38*Macro!W$18</f>
        <v>456.92908251970005</v>
      </c>
      <c r="X38" s="18">
        <f>+$B38*Macro!X$18</f>
        <v>461.43139053381395</v>
      </c>
    </row>
    <row r="39" spans="1:24" x14ac:dyDescent="0.3">
      <c r="A39" s="24" t="s">
        <v>39</v>
      </c>
      <c r="C39" t="str">
        <f>+Currency</f>
        <v>Rub '000'</v>
      </c>
      <c r="D39" t="s">
        <v>42</v>
      </c>
      <c r="E39" s="19">
        <f t="shared" ref="E39:X39" si="50">+E38*E37</f>
        <v>0</v>
      </c>
      <c r="F39" s="19">
        <f t="shared" si="50"/>
        <v>0</v>
      </c>
      <c r="G39" s="19">
        <f t="shared" si="50"/>
        <v>39058.489474120724</v>
      </c>
      <c r="H39" s="19">
        <f t="shared" si="50"/>
        <v>39443.348650097854</v>
      </c>
      <c r="I39" s="19">
        <f t="shared" si="50"/>
        <v>39831.999999999985</v>
      </c>
      <c r="J39" s="19">
        <f t="shared" si="50"/>
        <v>40224.480889658516</v>
      </c>
      <c r="K39" s="19">
        <f t="shared" si="50"/>
        <v>40620.829053085552</v>
      </c>
      <c r="L39" s="19">
        <f t="shared" si="50"/>
        <v>41021.082596101762</v>
      </c>
      <c r="M39" s="19">
        <f t="shared" si="50"/>
        <v>41425.279999999984</v>
      </c>
      <c r="N39" s="19">
        <f t="shared" si="50"/>
        <v>41833.460125244848</v>
      </c>
      <c r="O39" s="19">
        <f t="shared" si="50"/>
        <v>42245.662215208969</v>
      </c>
      <c r="P39" s="19">
        <f t="shared" si="50"/>
        <v>42661.925899945832</v>
      </c>
      <c r="Q39" s="19">
        <f t="shared" si="50"/>
        <v>43082.291199999978</v>
      </c>
      <c r="R39" s="19">
        <f t="shared" si="50"/>
        <v>43506.798530254637</v>
      </c>
      <c r="S39" s="19">
        <f t="shared" si="50"/>
        <v>43935.488703817318</v>
      </c>
      <c r="T39" s="19">
        <f t="shared" si="50"/>
        <v>44368.402935943661</v>
      </c>
      <c r="U39" s="19">
        <f t="shared" si="50"/>
        <v>44805.582847999969</v>
      </c>
      <c r="V39" s="19">
        <f t="shared" si="50"/>
        <v>45247.070471464824</v>
      </c>
      <c r="W39" s="19">
        <f t="shared" si="50"/>
        <v>45692.908251970002</v>
      </c>
      <c r="X39" s="19">
        <f t="shared" si="50"/>
        <v>46143.139053381397</v>
      </c>
    </row>
    <row r="41" spans="1:24" x14ac:dyDescent="0.3">
      <c r="A41" s="27" t="s">
        <v>31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 spans="1:24" x14ac:dyDescent="0.3">
      <c r="A42" s="26" t="s">
        <v>28</v>
      </c>
      <c r="B42" s="26"/>
      <c r="C42" s="26" t="s">
        <v>27</v>
      </c>
      <c r="D42" s="26"/>
      <c r="E42" s="26">
        <f t="shared" ref="E42:X42" si="51">+E16</f>
        <v>0</v>
      </c>
      <c r="F42" s="26">
        <f t="shared" si="51"/>
        <v>0</v>
      </c>
      <c r="G42" s="26">
        <f t="shared" si="51"/>
        <v>1200</v>
      </c>
      <c r="H42" s="26">
        <f t="shared" si="51"/>
        <v>1200</v>
      </c>
      <c r="I42" s="26">
        <f t="shared" si="51"/>
        <v>1200</v>
      </c>
      <c r="J42" s="26">
        <f t="shared" si="51"/>
        <v>1200</v>
      </c>
      <c r="K42" s="26">
        <f t="shared" si="51"/>
        <v>1200</v>
      </c>
      <c r="L42" s="26">
        <f t="shared" si="51"/>
        <v>1200</v>
      </c>
      <c r="M42" s="26">
        <f t="shared" si="51"/>
        <v>1200</v>
      </c>
      <c r="N42" s="26">
        <f t="shared" si="51"/>
        <v>1200</v>
      </c>
      <c r="O42" s="26">
        <f t="shared" si="51"/>
        <v>1200</v>
      </c>
      <c r="P42" s="26">
        <f t="shared" si="51"/>
        <v>1200</v>
      </c>
      <c r="Q42" s="26">
        <f t="shared" si="51"/>
        <v>1200</v>
      </c>
      <c r="R42" s="26">
        <f t="shared" si="51"/>
        <v>1200</v>
      </c>
      <c r="S42" s="26">
        <f t="shared" si="51"/>
        <v>1200</v>
      </c>
      <c r="T42" s="26">
        <f t="shared" si="51"/>
        <v>1200</v>
      </c>
      <c r="U42" s="26">
        <f t="shared" si="51"/>
        <v>1200</v>
      </c>
      <c r="V42" s="26">
        <f t="shared" si="51"/>
        <v>1200</v>
      </c>
      <c r="W42" s="26">
        <f t="shared" si="51"/>
        <v>1200</v>
      </c>
      <c r="X42" s="26">
        <f t="shared" si="51"/>
        <v>1200</v>
      </c>
    </row>
    <row r="43" spans="1:24" x14ac:dyDescent="0.3">
      <c r="A43" s="23" t="s">
        <v>36</v>
      </c>
    </row>
    <row r="44" spans="1:24" x14ac:dyDescent="0.3">
      <c r="A44" s="24" t="s">
        <v>37</v>
      </c>
      <c r="B44">
        <v>0.2</v>
      </c>
      <c r="C44" t="s">
        <v>27</v>
      </c>
      <c r="E44">
        <f t="shared" ref="E44:X44" si="52">+$B44*E$42</f>
        <v>0</v>
      </c>
      <c r="F44">
        <f t="shared" si="52"/>
        <v>0</v>
      </c>
      <c r="G44">
        <f t="shared" si="52"/>
        <v>240</v>
      </c>
      <c r="H44">
        <f t="shared" si="52"/>
        <v>240</v>
      </c>
      <c r="I44">
        <f t="shared" si="52"/>
        <v>240</v>
      </c>
      <c r="J44">
        <f t="shared" si="52"/>
        <v>240</v>
      </c>
      <c r="K44">
        <f t="shared" si="52"/>
        <v>240</v>
      </c>
      <c r="L44">
        <f t="shared" si="52"/>
        <v>240</v>
      </c>
      <c r="M44">
        <f t="shared" si="52"/>
        <v>240</v>
      </c>
      <c r="N44">
        <f t="shared" si="52"/>
        <v>240</v>
      </c>
      <c r="O44">
        <f t="shared" si="52"/>
        <v>240</v>
      </c>
      <c r="P44">
        <f t="shared" si="52"/>
        <v>240</v>
      </c>
      <c r="Q44">
        <f t="shared" si="52"/>
        <v>240</v>
      </c>
      <c r="R44">
        <f t="shared" si="52"/>
        <v>240</v>
      </c>
      <c r="S44">
        <f t="shared" si="52"/>
        <v>240</v>
      </c>
      <c r="T44">
        <f t="shared" si="52"/>
        <v>240</v>
      </c>
      <c r="U44">
        <f t="shared" si="52"/>
        <v>240</v>
      </c>
      <c r="V44">
        <f t="shared" si="52"/>
        <v>240</v>
      </c>
      <c r="W44">
        <f t="shared" si="52"/>
        <v>240</v>
      </c>
      <c r="X44">
        <f t="shared" si="52"/>
        <v>240</v>
      </c>
    </row>
    <row r="45" spans="1:24" x14ac:dyDescent="0.3">
      <c r="A45" s="24" t="s">
        <v>38</v>
      </c>
      <c r="B45" s="25">
        <v>35</v>
      </c>
      <c r="C45" t="str">
        <f>+Currency</f>
        <v>Rub '000'</v>
      </c>
      <c r="E45" s="18">
        <f>+$B45*Macro!E$18</f>
        <v>35</v>
      </c>
      <c r="F45" s="18">
        <f>+$B45*Macro!F$18</f>
        <v>35.344869229213906</v>
      </c>
      <c r="G45" s="18">
        <f>+$B45*Macro!G$18</f>
        <v>35.69313659514949</v>
      </c>
      <c r="H45" s="18">
        <f>+$B45*Macro!H$18</f>
        <v>36.044835581029368</v>
      </c>
      <c r="I45" s="18">
        <f>+$B45*Macro!I$18</f>
        <v>36.399999999999984</v>
      </c>
      <c r="J45" s="18">
        <f>+$B45*Macro!J$18</f>
        <v>36.758663998382453</v>
      </c>
      <c r="K45" s="18">
        <f>+$B45*Macro!K$18</f>
        <v>37.12086205895546</v>
      </c>
      <c r="L45" s="18">
        <f>+$B45*Macro!L$18</f>
        <v>37.48662900427054</v>
      </c>
      <c r="M45" s="18">
        <f>+$B45*Macro!M$18</f>
        <v>37.85599999999998</v>
      </c>
      <c r="N45" s="18">
        <f>+$B45*Macro!N$18</f>
        <v>38.229010558317746</v>
      </c>
      <c r="O45" s="18">
        <f>+$B45*Macro!O$18</f>
        <v>38.605696541313677</v>
      </c>
      <c r="P45" s="18">
        <f>+$B45*Macro!P$18</f>
        <v>38.986094164441361</v>
      </c>
      <c r="Q45" s="18">
        <f>+$B45*Macro!Q$18</f>
        <v>39.370239999999981</v>
      </c>
      <c r="R45" s="18">
        <f>+$B45*Macro!R$18</f>
        <v>39.758170980650455</v>
      </c>
      <c r="S45" s="18">
        <f>+$B45*Macro!S$18</f>
        <v>40.149924402966221</v>
      </c>
      <c r="T45" s="18">
        <f>+$B45*Macro!T$18</f>
        <v>40.545537931019012</v>
      </c>
      <c r="U45" s="18">
        <f>+$B45*Macro!U$18</f>
        <v>40.945049599999976</v>
      </c>
      <c r="V45" s="18">
        <f>+$B45*Macro!V$18</f>
        <v>41.348497819876471</v>
      </c>
      <c r="W45" s="18">
        <f>+$B45*Macro!W$18</f>
        <v>41.75592137908486</v>
      </c>
      <c r="X45" s="18">
        <f>+$B45*Macro!X$18</f>
        <v>42.167359448259759</v>
      </c>
    </row>
    <row r="46" spans="1:24" x14ac:dyDescent="0.3">
      <c r="A46" s="24" t="s">
        <v>39</v>
      </c>
      <c r="C46" t="str">
        <f>+Currency</f>
        <v>Rub '000'</v>
      </c>
      <c r="D46" t="s">
        <v>42</v>
      </c>
      <c r="E46" s="19">
        <f t="shared" ref="E46:X46" si="53">+E45*E44</f>
        <v>0</v>
      </c>
      <c r="F46" s="19">
        <f t="shared" si="53"/>
        <v>0</v>
      </c>
      <c r="G46" s="19">
        <f t="shared" si="53"/>
        <v>8566.3527828358783</v>
      </c>
      <c r="H46" s="19">
        <f t="shared" si="53"/>
        <v>8650.7605394470484</v>
      </c>
      <c r="I46" s="19">
        <f t="shared" si="53"/>
        <v>8735.9999999999964</v>
      </c>
      <c r="J46" s="19">
        <f t="shared" si="53"/>
        <v>8822.0793596117892</v>
      </c>
      <c r="K46" s="19">
        <f t="shared" si="53"/>
        <v>8909.00689414931</v>
      </c>
      <c r="L46" s="19">
        <f t="shared" si="53"/>
        <v>8996.7909610249299</v>
      </c>
      <c r="M46" s="19">
        <f t="shared" si="53"/>
        <v>9085.4399999999951</v>
      </c>
      <c r="N46" s="19">
        <f t="shared" si="53"/>
        <v>9174.9625339962586</v>
      </c>
      <c r="O46" s="19">
        <f t="shared" si="53"/>
        <v>9265.3671699152819</v>
      </c>
      <c r="P46" s="19">
        <f t="shared" si="53"/>
        <v>9356.6625994659262</v>
      </c>
      <c r="Q46" s="19">
        <f t="shared" si="53"/>
        <v>9448.8575999999957</v>
      </c>
      <c r="R46" s="19">
        <f t="shared" si="53"/>
        <v>9541.9610353561093</v>
      </c>
      <c r="S46" s="19">
        <f t="shared" si="53"/>
        <v>9635.9818567118928</v>
      </c>
      <c r="T46" s="19">
        <f t="shared" si="53"/>
        <v>9730.9291034445632</v>
      </c>
      <c r="U46" s="19">
        <f t="shared" si="53"/>
        <v>9826.8119039999947</v>
      </c>
      <c r="V46" s="19">
        <f t="shared" si="53"/>
        <v>9923.6394767703532</v>
      </c>
      <c r="W46" s="19">
        <f t="shared" si="53"/>
        <v>10021.421130980367</v>
      </c>
      <c r="X46" s="19">
        <f t="shared" si="53"/>
        <v>10120.166267582343</v>
      </c>
    </row>
    <row r="47" spans="1:24" x14ac:dyDescent="0.3">
      <c r="A47" s="23" t="s">
        <v>40</v>
      </c>
    </row>
    <row r="48" spans="1:24" x14ac:dyDescent="0.3">
      <c r="A48" s="24" t="s">
        <v>37</v>
      </c>
      <c r="B48">
        <v>0.26</v>
      </c>
      <c r="C48" t="s">
        <v>27</v>
      </c>
      <c r="E48">
        <f t="shared" ref="E48:X48" si="54">+$B48*E$42</f>
        <v>0</v>
      </c>
      <c r="F48">
        <f t="shared" si="54"/>
        <v>0</v>
      </c>
      <c r="G48">
        <f t="shared" si="54"/>
        <v>312</v>
      </c>
      <c r="H48">
        <f t="shared" si="54"/>
        <v>312</v>
      </c>
      <c r="I48">
        <f t="shared" si="54"/>
        <v>312</v>
      </c>
      <c r="J48">
        <f t="shared" si="54"/>
        <v>312</v>
      </c>
      <c r="K48">
        <f t="shared" si="54"/>
        <v>312</v>
      </c>
      <c r="L48">
        <f t="shared" si="54"/>
        <v>312</v>
      </c>
      <c r="M48">
        <f t="shared" si="54"/>
        <v>312</v>
      </c>
      <c r="N48">
        <f t="shared" si="54"/>
        <v>312</v>
      </c>
      <c r="O48">
        <f t="shared" si="54"/>
        <v>312</v>
      </c>
      <c r="P48">
        <f t="shared" si="54"/>
        <v>312</v>
      </c>
      <c r="Q48">
        <f t="shared" si="54"/>
        <v>312</v>
      </c>
      <c r="R48">
        <f t="shared" si="54"/>
        <v>312</v>
      </c>
      <c r="S48">
        <f t="shared" si="54"/>
        <v>312</v>
      </c>
      <c r="T48">
        <f t="shared" si="54"/>
        <v>312</v>
      </c>
      <c r="U48">
        <f t="shared" si="54"/>
        <v>312</v>
      </c>
      <c r="V48">
        <f t="shared" si="54"/>
        <v>312</v>
      </c>
      <c r="W48">
        <f t="shared" si="54"/>
        <v>312</v>
      </c>
      <c r="X48">
        <f t="shared" si="54"/>
        <v>312</v>
      </c>
    </row>
    <row r="49" spans="1:24" x14ac:dyDescent="0.3">
      <c r="A49" s="24" t="s">
        <v>38</v>
      </c>
      <c r="B49" s="25">
        <v>23</v>
      </c>
      <c r="C49" t="str">
        <f>+Currency</f>
        <v>Rub '000'</v>
      </c>
      <c r="E49" s="18">
        <f>+$B49*Macro!E$18</f>
        <v>23</v>
      </c>
      <c r="F49" s="18">
        <f>+$B49*Macro!F$18</f>
        <v>23.226628350626282</v>
      </c>
      <c r="G49" s="18">
        <f>+$B49*Macro!G$18</f>
        <v>23.455489762526806</v>
      </c>
      <c r="H49" s="18">
        <f>+$B49*Macro!H$18</f>
        <v>23.686606238962156</v>
      </c>
      <c r="I49" s="18">
        <f>+$B49*Macro!I$18</f>
        <v>23.919999999999991</v>
      </c>
      <c r="J49" s="18">
        <f>+$B49*Macro!J$18</f>
        <v>24.155693484651326</v>
      </c>
      <c r="K49" s="18">
        <f>+$B49*Macro!K$18</f>
        <v>24.393709353027873</v>
      </c>
      <c r="L49" s="18">
        <f>+$B49*Macro!L$18</f>
        <v>24.634070488520639</v>
      </c>
      <c r="M49" s="18">
        <f>+$B49*Macro!M$18</f>
        <v>24.876799999999989</v>
      </c>
      <c r="N49" s="18">
        <f>+$B49*Macro!N$18</f>
        <v>25.121921224037376</v>
      </c>
      <c r="O49" s="18">
        <f>+$B49*Macro!O$18</f>
        <v>25.369457727148987</v>
      </c>
      <c r="P49" s="18">
        <f>+$B49*Macro!P$18</f>
        <v>25.619433308061467</v>
      </c>
      <c r="Q49" s="18">
        <f>+$B49*Macro!Q$18</f>
        <v>25.871871999999986</v>
      </c>
      <c r="R49" s="18">
        <f>+$B49*Macro!R$18</f>
        <v>26.12679807299887</v>
      </c>
      <c r="S49" s="18">
        <f>+$B49*Macro!S$18</f>
        <v>26.384236036234945</v>
      </c>
      <c r="T49" s="18">
        <f>+$B49*Macro!T$18</f>
        <v>26.644210640383921</v>
      </c>
      <c r="U49" s="18">
        <f>+$B49*Macro!U$18</f>
        <v>26.906746879999986</v>
      </c>
      <c r="V49" s="18">
        <f>+$B49*Macro!V$18</f>
        <v>27.171869995918822</v>
      </c>
      <c r="W49" s="18">
        <f>+$B49*Macro!W$18</f>
        <v>27.439605477684339</v>
      </c>
      <c r="X49" s="18">
        <f>+$B49*Macro!X$18</f>
        <v>27.709979065999271</v>
      </c>
    </row>
    <row r="50" spans="1:24" x14ac:dyDescent="0.3">
      <c r="A50" s="24" t="s">
        <v>39</v>
      </c>
      <c r="C50" t="str">
        <f>+Currency</f>
        <v>Rub '000'</v>
      </c>
      <c r="D50" t="s">
        <v>42</v>
      </c>
      <c r="E50" s="19">
        <f>+E49*E48</f>
        <v>0</v>
      </c>
      <c r="F50" s="19">
        <f>+F49*F48</f>
        <v>0</v>
      </c>
      <c r="G50" s="19">
        <f>+G49*G48</f>
        <v>7318.112805908364</v>
      </c>
      <c r="H50" s="19">
        <f t="shared" ref="H50" si="55">+H49*H48</f>
        <v>7390.2211465561923</v>
      </c>
      <c r="I50" s="19">
        <f t="shared" ref="I50" si="56">+I49*I48</f>
        <v>7463.0399999999972</v>
      </c>
      <c r="J50" s="19">
        <f t="shared" ref="J50" si="57">+J49*J48</f>
        <v>7536.5763672112134</v>
      </c>
      <c r="K50" s="19">
        <f t="shared" ref="K50" si="58">+K49*K48</f>
        <v>7610.8373181446968</v>
      </c>
      <c r="L50" s="19">
        <f t="shared" ref="L50" si="59">+L49*L48</f>
        <v>7685.8299924184394</v>
      </c>
      <c r="M50" s="19">
        <f t="shared" ref="M50" si="60">+M49*M48</f>
        <v>7761.5615999999964</v>
      </c>
      <c r="N50" s="19">
        <f t="shared" ref="N50" si="61">+N49*N48</f>
        <v>7838.0394218996616</v>
      </c>
      <c r="O50" s="19">
        <f t="shared" ref="O50" si="62">+O49*O48</f>
        <v>7915.2708108704837</v>
      </c>
      <c r="P50" s="19">
        <f t="shared" ref="P50" si="63">+P49*P48</f>
        <v>7993.2631921151778</v>
      </c>
      <c r="Q50" s="19">
        <f t="shared" ref="Q50" si="64">+Q49*Q48</f>
        <v>8072.0240639999956</v>
      </c>
      <c r="R50" s="19">
        <f t="shared" ref="R50" si="65">+R49*R48</f>
        <v>8151.560998775647</v>
      </c>
      <c r="S50" s="19">
        <f t="shared" ref="S50" si="66">+S49*S48</f>
        <v>8231.8816433053034</v>
      </c>
      <c r="T50" s="19">
        <f t="shared" ref="T50" si="67">+T49*T48</f>
        <v>8312.9937197997842</v>
      </c>
      <c r="U50" s="19">
        <f t="shared" ref="U50" si="68">+U49*U48</f>
        <v>8394.9050265599963</v>
      </c>
      <c r="V50" s="19">
        <f t="shared" ref="V50" si="69">+V49*V48</f>
        <v>8477.6234387266722</v>
      </c>
      <c r="W50" s="19">
        <f t="shared" ref="W50" si="70">+W49*W48</f>
        <v>8561.1569090375142</v>
      </c>
      <c r="X50" s="19">
        <f t="shared" ref="X50" si="71">+X49*X48</f>
        <v>8645.5134685917728</v>
      </c>
    </row>
    <row r="51" spans="1:24" x14ac:dyDescent="0.3">
      <c r="A51" s="23" t="s">
        <v>41</v>
      </c>
    </row>
    <row r="52" spans="1:24" x14ac:dyDescent="0.3">
      <c r="A52" s="24" t="s">
        <v>37</v>
      </c>
      <c r="B52">
        <v>0.03</v>
      </c>
      <c r="C52" t="s">
        <v>27</v>
      </c>
      <c r="E52">
        <f t="shared" ref="E52:X52" si="72">+$B52*E$42</f>
        <v>0</v>
      </c>
      <c r="F52">
        <f t="shared" si="72"/>
        <v>0</v>
      </c>
      <c r="G52">
        <f t="shared" si="72"/>
        <v>36</v>
      </c>
      <c r="H52">
        <f t="shared" si="72"/>
        <v>36</v>
      </c>
      <c r="I52">
        <f t="shared" si="72"/>
        <v>36</v>
      </c>
      <c r="J52">
        <f t="shared" si="72"/>
        <v>36</v>
      </c>
      <c r="K52">
        <f t="shared" si="72"/>
        <v>36</v>
      </c>
      <c r="L52">
        <f t="shared" si="72"/>
        <v>36</v>
      </c>
      <c r="M52">
        <f t="shared" si="72"/>
        <v>36</v>
      </c>
      <c r="N52">
        <f t="shared" si="72"/>
        <v>36</v>
      </c>
      <c r="O52">
        <f t="shared" si="72"/>
        <v>36</v>
      </c>
      <c r="P52">
        <f t="shared" si="72"/>
        <v>36</v>
      </c>
      <c r="Q52">
        <f t="shared" si="72"/>
        <v>36</v>
      </c>
      <c r="R52">
        <f t="shared" si="72"/>
        <v>36</v>
      </c>
      <c r="S52">
        <f t="shared" si="72"/>
        <v>36</v>
      </c>
      <c r="T52">
        <f t="shared" si="72"/>
        <v>36</v>
      </c>
      <c r="U52">
        <f t="shared" si="72"/>
        <v>36</v>
      </c>
      <c r="V52">
        <f t="shared" si="72"/>
        <v>36</v>
      </c>
      <c r="W52">
        <f t="shared" si="72"/>
        <v>36</v>
      </c>
      <c r="X52">
        <f t="shared" si="72"/>
        <v>36</v>
      </c>
    </row>
    <row r="53" spans="1:24" x14ac:dyDescent="0.3">
      <c r="A53" s="24" t="s">
        <v>38</v>
      </c>
      <c r="B53" s="25">
        <v>384</v>
      </c>
      <c r="C53" t="str">
        <f>+Currency</f>
        <v>Rub '000'</v>
      </c>
      <c r="E53" s="18">
        <f>+$B53*Macro!E$18</f>
        <v>384</v>
      </c>
      <c r="F53" s="18">
        <f>+$B53*Macro!F$18</f>
        <v>387.78370811480403</v>
      </c>
      <c r="G53" s="18">
        <f>+$B53*Macro!G$18</f>
        <v>391.60469864392581</v>
      </c>
      <c r="H53" s="18">
        <f>+$B53*Macro!H$18</f>
        <v>395.46333894615077</v>
      </c>
      <c r="I53" s="18">
        <f>+$B53*Macro!I$18</f>
        <v>399.35999999999984</v>
      </c>
      <c r="J53" s="18">
        <f>+$B53*Macro!J$18</f>
        <v>403.29505643939603</v>
      </c>
      <c r="K53" s="18">
        <f>+$B53*Macro!K$18</f>
        <v>407.26888658968278</v>
      </c>
      <c r="L53" s="18">
        <f>+$B53*Macro!L$18</f>
        <v>411.28187250399674</v>
      </c>
      <c r="M53" s="18">
        <f>+$B53*Macro!M$18</f>
        <v>415.33439999999979</v>
      </c>
      <c r="N53" s="18">
        <f>+$B53*Macro!N$18</f>
        <v>419.42685869697186</v>
      </c>
      <c r="O53" s="18">
        <f>+$B53*Macro!O$18</f>
        <v>423.55964205327007</v>
      </c>
      <c r="P53" s="18">
        <f>+$B53*Macro!P$18</f>
        <v>427.73314740415663</v>
      </c>
      <c r="Q53" s="18">
        <f>+$B53*Macro!Q$18</f>
        <v>431.94777599999975</v>
      </c>
      <c r="R53" s="18">
        <f>+$B53*Macro!R$18</f>
        <v>436.20393304485071</v>
      </c>
      <c r="S53" s="18">
        <f>+$B53*Macro!S$18</f>
        <v>440.50202773540082</v>
      </c>
      <c r="T53" s="18">
        <f>+$B53*Macro!T$18</f>
        <v>444.84247330032287</v>
      </c>
      <c r="U53" s="18">
        <f>+$B53*Macro!U$18</f>
        <v>449.22568703999974</v>
      </c>
      <c r="V53" s="18">
        <f>+$B53*Macro!V$18</f>
        <v>453.65209036664464</v>
      </c>
      <c r="W53" s="18">
        <f>+$B53*Macro!W$18</f>
        <v>458.12210884481681</v>
      </c>
      <c r="X53" s="18">
        <f>+$B53*Macro!X$18</f>
        <v>462.63617223233564</v>
      </c>
    </row>
    <row r="54" spans="1:24" x14ac:dyDescent="0.3">
      <c r="A54" s="24" t="s">
        <v>39</v>
      </c>
      <c r="C54" t="str">
        <f>+Currency</f>
        <v>Rub '000'</v>
      </c>
      <c r="D54" t="s">
        <v>42</v>
      </c>
      <c r="E54" s="19">
        <f>+E53*E52</f>
        <v>0</v>
      </c>
      <c r="F54" s="19">
        <f>+F53*F52</f>
        <v>0</v>
      </c>
      <c r="G54" s="19">
        <f>+G53*G52</f>
        <v>14097.76915118133</v>
      </c>
      <c r="H54" s="19">
        <f t="shared" ref="H54" si="73">+H53*H52</f>
        <v>14236.680202061427</v>
      </c>
      <c r="I54" s="19">
        <f t="shared" ref="I54" si="74">+I53*I52</f>
        <v>14376.959999999994</v>
      </c>
      <c r="J54" s="19">
        <f t="shared" ref="J54" si="75">+J53*J52</f>
        <v>14518.622031818257</v>
      </c>
      <c r="K54" s="19">
        <f t="shared" ref="K54" si="76">+K53*K52</f>
        <v>14661.679917228579</v>
      </c>
      <c r="L54" s="19">
        <f t="shared" ref="L54" si="77">+L53*L52</f>
        <v>14806.147410143883</v>
      </c>
      <c r="M54" s="19">
        <f t="shared" ref="M54" si="78">+M53*M52</f>
        <v>14952.038399999992</v>
      </c>
      <c r="N54" s="19">
        <f t="shared" ref="N54" si="79">+N53*N52</f>
        <v>15099.366913090988</v>
      </c>
      <c r="O54" s="19">
        <f t="shared" ref="O54" si="80">+O53*O52</f>
        <v>15248.147113917723</v>
      </c>
      <c r="P54" s="19">
        <f t="shared" ref="P54" si="81">+P53*P52</f>
        <v>15398.393306549639</v>
      </c>
      <c r="Q54" s="19">
        <f t="shared" ref="Q54" si="82">+Q53*Q52</f>
        <v>15550.119935999992</v>
      </c>
      <c r="R54" s="19">
        <f t="shared" ref="R54" si="83">+R53*R52</f>
        <v>15703.341589614625</v>
      </c>
      <c r="S54" s="19">
        <f t="shared" ref="S54" si="84">+S53*S52</f>
        <v>15858.072998474428</v>
      </c>
      <c r="T54" s="19">
        <f t="shared" ref="T54" si="85">+T53*T52</f>
        <v>16014.329038811624</v>
      </c>
      <c r="U54" s="19">
        <f t="shared" ref="U54" si="86">+U53*U52</f>
        <v>16172.12473343999</v>
      </c>
      <c r="V54" s="19">
        <f t="shared" ref="V54" si="87">+V53*V52</f>
        <v>16331.475253199207</v>
      </c>
      <c r="W54" s="19">
        <f t="shared" ref="W54" si="88">+W53*W52</f>
        <v>16492.395918413404</v>
      </c>
      <c r="X54" s="19">
        <f t="shared" ref="X54" si="89">+X53*X52</f>
        <v>16654.902200364082</v>
      </c>
    </row>
    <row r="55" spans="1:24" x14ac:dyDescent="0.3">
      <c r="A55" s="23" t="s">
        <v>43</v>
      </c>
    </row>
    <row r="56" spans="1:24" x14ac:dyDescent="0.3">
      <c r="A56" s="24" t="s">
        <v>37</v>
      </c>
      <c r="B56">
        <v>0.09</v>
      </c>
      <c r="C56" t="s">
        <v>27</v>
      </c>
      <c r="E56">
        <f t="shared" ref="E56:X56" si="90">+$B56*E$42</f>
        <v>0</v>
      </c>
      <c r="F56">
        <f t="shared" si="90"/>
        <v>0</v>
      </c>
      <c r="G56">
        <f t="shared" si="90"/>
        <v>108</v>
      </c>
      <c r="H56">
        <f t="shared" si="90"/>
        <v>108</v>
      </c>
      <c r="I56">
        <f t="shared" si="90"/>
        <v>108</v>
      </c>
      <c r="J56">
        <f t="shared" si="90"/>
        <v>108</v>
      </c>
      <c r="K56">
        <f t="shared" si="90"/>
        <v>108</v>
      </c>
      <c r="L56">
        <f t="shared" si="90"/>
        <v>108</v>
      </c>
      <c r="M56">
        <f t="shared" si="90"/>
        <v>108</v>
      </c>
      <c r="N56">
        <f t="shared" si="90"/>
        <v>108</v>
      </c>
      <c r="O56">
        <f t="shared" si="90"/>
        <v>108</v>
      </c>
      <c r="P56">
        <f t="shared" si="90"/>
        <v>108</v>
      </c>
      <c r="Q56">
        <f t="shared" si="90"/>
        <v>108</v>
      </c>
      <c r="R56">
        <f t="shared" si="90"/>
        <v>108</v>
      </c>
      <c r="S56">
        <f t="shared" si="90"/>
        <v>108</v>
      </c>
      <c r="T56">
        <f t="shared" si="90"/>
        <v>108</v>
      </c>
      <c r="U56">
        <f t="shared" si="90"/>
        <v>108</v>
      </c>
      <c r="V56">
        <f t="shared" si="90"/>
        <v>108</v>
      </c>
      <c r="W56">
        <f t="shared" si="90"/>
        <v>108</v>
      </c>
      <c r="X56">
        <f t="shared" si="90"/>
        <v>108</v>
      </c>
    </row>
    <row r="57" spans="1:24" x14ac:dyDescent="0.3">
      <c r="A57" s="24" t="s">
        <v>38</v>
      </c>
      <c r="B57" s="25">
        <v>110</v>
      </c>
      <c r="C57" t="str">
        <f>+Currency</f>
        <v>Rub '000'</v>
      </c>
      <c r="E57" s="18">
        <f>+$B57*Macro!E$18</f>
        <v>110</v>
      </c>
      <c r="F57" s="18">
        <f>+$B57*Macro!F$18</f>
        <v>111.08387472038658</v>
      </c>
      <c r="G57" s="18">
        <f>+$B57*Macro!G$18</f>
        <v>112.17842929904126</v>
      </c>
      <c r="H57" s="18">
        <f>+$B57*Macro!H$18</f>
        <v>113.28376896894945</v>
      </c>
      <c r="I57" s="18">
        <f>+$B57*Macro!I$18</f>
        <v>114.39999999999995</v>
      </c>
      <c r="J57" s="18">
        <f>+$B57*Macro!J$18</f>
        <v>115.527229709202</v>
      </c>
      <c r="K57" s="18">
        <f>+$B57*Macro!K$18</f>
        <v>116.66556647100288</v>
      </c>
      <c r="L57" s="18">
        <f>+$B57*Macro!L$18</f>
        <v>117.81511972770741</v>
      </c>
      <c r="M57" s="18">
        <f>+$B57*Macro!M$18</f>
        <v>118.97599999999994</v>
      </c>
      <c r="N57" s="18">
        <f>+$B57*Macro!N$18</f>
        <v>120.14831889757005</v>
      </c>
      <c r="O57" s="18">
        <f>+$B57*Macro!O$18</f>
        <v>121.33218912984297</v>
      </c>
      <c r="P57" s="18">
        <f>+$B57*Macro!P$18</f>
        <v>122.52772451681571</v>
      </c>
      <c r="Q57" s="18">
        <f>+$B57*Macro!Q$18</f>
        <v>123.73503999999994</v>
      </c>
      <c r="R57" s="18">
        <f>+$B57*Macro!R$18</f>
        <v>124.95425165347287</v>
      </c>
      <c r="S57" s="18">
        <f>+$B57*Macro!S$18</f>
        <v>126.1854766950367</v>
      </c>
      <c r="T57" s="18">
        <f>+$B57*Macro!T$18</f>
        <v>127.42883349748833</v>
      </c>
      <c r="U57" s="18">
        <f>+$B57*Macro!U$18</f>
        <v>128.68444159999993</v>
      </c>
      <c r="V57" s="18">
        <f>+$B57*Macro!V$18</f>
        <v>129.95242171961175</v>
      </c>
      <c r="W57" s="18">
        <f>+$B57*Macro!W$18</f>
        <v>131.23289576283813</v>
      </c>
      <c r="X57" s="18">
        <f>+$B57*Macro!X$18</f>
        <v>132.52598683738782</v>
      </c>
    </row>
    <row r="58" spans="1:24" x14ac:dyDescent="0.3">
      <c r="A58" s="24" t="s">
        <v>39</v>
      </c>
      <c r="C58" t="str">
        <f>+Currency</f>
        <v>Rub '000'</v>
      </c>
      <c r="D58" t="s">
        <v>42</v>
      </c>
      <c r="E58" s="19">
        <f>+E57*E56</f>
        <v>0</v>
      </c>
      <c r="F58" s="19">
        <f>+F57*F56</f>
        <v>0</v>
      </c>
      <c r="G58" s="19">
        <f>+G57*G56</f>
        <v>12115.270364296455</v>
      </c>
      <c r="H58" s="19">
        <f t="shared" ref="H58" si="91">+H57*H56</f>
        <v>12234.64704864654</v>
      </c>
      <c r="I58" s="19">
        <f t="shared" ref="I58" si="92">+I57*I56</f>
        <v>12355.199999999995</v>
      </c>
      <c r="J58" s="19">
        <f t="shared" ref="J58" si="93">+J57*J56</f>
        <v>12476.940808593816</v>
      </c>
      <c r="K58" s="19">
        <f t="shared" ref="K58" si="94">+K57*K56</f>
        <v>12599.881178868311</v>
      </c>
      <c r="L58" s="19">
        <f t="shared" ref="L58" si="95">+L57*L56</f>
        <v>12724.032930592401</v>
      </c>
      <c r="M58" s="19">
        <f t="shared" ref="M58" si="96">+M57*M56</f>
        <v>12849.407999999994</v>
      </c>
      <c r="N58" s="19">
        <f t="shared" ref="N58" si="97">+N57*N56</f>
        <v>12976.018440937565</v>
      </c>
      <c r="O58" s="19">
        <f t="shared" ref="O58" si="98">+O57*O56</f>
        <v>13103.876426023042</v>
      </c>
      <c r="P58" s="19">
        <f t="shared" ref="P58" si="99">+P57*P56</f>
        <v>13232.994247816097</v>
      </c>
      <c r="Q58" s="19">
        <f t="shared" ref="Q58" si="100">+Q57*Q56</f>
        <v>13363.384319999994</v>
      </c>
      <c r="R58" s="19">
        <f t="shared" ref="R58" si="101">+R57*R56</f>
        <v>13495.059178575069</v>
      </c>
      <c r="S58" s="19">
        <f t="shared" ref="S58" si="102">+S57*S56</f>
        <v>13628.031483063964</v>
      </c>
      <c r="T58" s="19">
        <f t="shared" ref="T58" si="103">+T57*T56</f>
        <v>13762.314017728739</v>
      </c>
      <c r="U58" s="19">
        <f t="shared" ref="U58" si="104">+U57*U56</f>
        <v>13897.919692799993</v>
      </c>
      <c r="V58" s="19">
        <f t="shared" ref="V58" si="105">+V57*V56</f>
        <v>14034.861545718069</v>
      </c>
      <c r="W58" s="19">
        <f t="shared" ref="W58" si="106">+W57*W56</f>
        <v>14173.152742386517</v>
      </c>
      <c r="X58" s="19">
        <f t="shared" ref="X58" si="107">+X57*X56</f>
        <v>14312.806578437885</v>
      </c>
    </row>
    <row r="59" spans="1:24" x14ac:dyDescent="0.3">
      <c r="A59" s="23" t="s">
        <v>44</v>
      </c>
    </row>
    <row r="60" spans="1:24" x14ac:dyDescent="0.3">
      <c r="A60" s="24" t="s">
        <v>37</v>
      </c>
      <c r="B60">
        <v>0.5</v>
      </c>
      <c r="C60" t="s">
        <v>27</v>
      </c>
      <c r="E60">
        <f t="shared" ref="E60:X60" si="108">+$B60*E$42</f>
        <v>0</v>
      </c>
      <c r="F60">
        <f t="shared" si="108"/>
        <v>0</v>
      </c>
      <c r="G60">
        <f t="shared" si="108"/>
        <v>600</v>
      </c>
      <c r="H60">
        <f t="shared" si="108"/>
        <v>600</v>
      </c>
      <c r="I60">
        <f t="shared" si="108"/>
        <v>600</v>
      </c>
      <c r="J60">
        <f t="shared" si="108"/>
        <v>600</v>
      </c>
      <c r="K60">
        <f t="shared" si="108"/>
        <v>600</v>
      </c>
      <c r="L60">
        <f t="shared" si="108"/>
        <v>600</v>
      </c>
      <c r="M60">
        <f t="shared" si="108"/>
        <v>600</v>
      </c>
      <c r="N60">
        <f t="shared" si="108"/>
        <v>600</v>
      </c>
      <c r="O60">
        <f t="shared" si="108"/>
        <v>600</v>
      </c>
      <c r="P60">
        <f t="shared" si="108"/>
        <v>600</v>
      </c>
      <c r="Q60">
        <f t="shared" si="108"/>
        <v>600</v>
      </c>
      <c r="R60">
        <f t="shared" si="108"/>
        <v>600</v>
      </c>
      <c r="S60">
        <f t="shared" si="108"/>
        <v>600</v>
      </c>
      <c r="T60">
        <f t="shared" si="108"/>
        <v>600</v>
      </c>
      <c r="U60">
        <f t="shared" si="108"/>
        <v>600</v>
      </c>
      <c r="V60">
        <f t="shared" si="108"/>
        <v>600</v>
      </c>
      <c r="W60">
        <f t="shared" si="108"/>
        <v>600</v>
      </c>
      <c r="X60">
        <f t="shared" si="108"/>
        <v>600</v>
      </c>
    </row>
    <row r="61" spans="1:24" x14ac:dyDescent="0.3">
      <c r="A61" s="24" t="s">
        <v>38</v>
      </c>
      <c r="B61" s="25">
        <v>120</v>
      </c>
      <c r="C61" t="str">
        <f>+Currency</f>
        <v>Rub '000'</v>
      </c>
      <c r="E61" s="18">
        <f>+$B61*Macro!E$18</f>
        <v>120</v>
      </c>
      <c r="F61" s="18">
        <f>+$B61*Macro!F$18</f>
        <v>121.18240878587626</v>
      </c>
      <c r="G61" s="18">
        <f>+$B61*Macro!G$18</f>
        <v>122.37646832622681</v>
      </c>
      <c r="H61" s="18">
        <f>+$B61*Macro!H$18</f>
        <v>123.58229342067213</v>
      </c>
      <c r="I61" s="18">
        <f>+$B61*Macro!I$18</f>
        <v>124.79999999999995</v>
      </c>
      <c r="J61" s="18">
        <f>+$B61*Macro!J$18</f>
        <v>126.02970513731127</v>
      </c>
      <c r="K61" s="18">
        <f>+$B61*Macro!K$18</f>
        <v>127.27152705927587</v>
      </c>
      <c r="L61" s="18">
        <f>+$B61*Macro!L$18</f>
        <v>128.52558515749899</v>
      </c>
      <c r="M61" s="18">
        <f>+$B61*Macro!M$18</f>
        <v>129.79199999999994</v>
      </c>
      <c r="N61" s="18">
        <f>+$B61*Macro!N$18</f>
        <v>131.07089334280369</v>
      </c>
      <c r="O61" s="18">
        <f>+$B61*Macro!O$18</f>
        <v>132.36238814164687</v>
      </c>
      <c r="P61" s="18">
        <f>+$B61*Macro!P$18</f>
        <v>133.66660856379895</v>
      </c>
      <c r="Q61" s="18">
        <f>+$B61*Macro!Q$18</f>
        <v>134.98367999999994</v>
      </c>
      <c r="R61" s="18">
        <f>+$B61*Macro!R$18</f>
        <v>136.31372907651584</v>
      </c>
      <c r="S61" s="18">
        <f>+$B61*Macro!S$18</f>
        <v>137.65688366731277</v>
      </c>
      <c r="T61" s="18">
        <f>+$B61*Macro!T$18</f>
        <v>139.01327290635089</v>
      </c>
      <c r="U61" s="18">
        <f>+$B61*Macro!U$18</f>
        <v>140.38302719999993</v>
      </c>
      <c r="V61" s="18">
        <f>+$B61*Macro!V$18</f>
        <v>141.76627823957645</v>
      </c>
      <c r="W61" s="18">
        <f>+$B61*Macro!W$18</f>
        <v>143.16315901400523</v>
      </c>
      <c r="X61" s="18">
        <f>+$B61*Macro!X$18</f>
        <v>144.5738038226049</v>
      </c>
    </row>
    <row r="62" spans="1:24" x14ac:dyDescent="0.3">
      <c r="A62" s="24" t="s">
        <v>39</v>
      </c>
      <c r="B62" t="s">
        <v>45</v>
      </c>
      <c r="C62" t="str">
        <f>+Currency</f>
        <v>Rub '000'</v>
      </c>
      <c r="D62" t="s">
        <v>42</v>
      </c>
      <c r="E62" s="19">
        <f>+E61*E60</f>
        <v>0</v>
      </c>
      <c r="F62" s="19">
        <f>+F61*F60</f>
        <v>0</v>
      </c>
      <c r="G62" s="19">
        <f>+G61*G60</f>
        <v>73425.880995736094</v>
      </c>
      <c r="H62" s="19">
        <f t="shared" ref="H62" si="109">+H61*H60</f>
        <v>74149.376052403284</v>
      </c>
      <c r="I62" s="19">
        <f t="shared" ref="I62" si="110">+I61*I60</f>
        <v>74879.999999999971</v>
      </c>
      <c r="J62" s="19">
        <f t="shared" ref="J62" si="111">+J61*J60</f>
        <v>75617.823082386763</v>
      </c>
      <c r="K62" s="19">
        <f t="shared" ref="K62" si="112">+K61*K60</f>
        <v>76362.916235565528</v>
      </c>
      <c r="L62" s="19">
        <f t="shared" ref="L62" si="113">+L61*L60</f>
        <v>77115.35109449939</v>
      </c>
      <c r="M62" s="19">
        <f t="shared" ref="M62" si="114">+M61*M60</f>
        <v>77875.199999999968</v>
      </c>
      <c r="N62" s="19">
        <f t="shared" ref="N62" si="115">+N61*N60</f>
        <v>78642.53600568221</v>
      </c>
      <c r="O62" s="19">
        <f t="shared" ref="O62" si="116">+O61*O60</f>
        <v>79417.432884988128</v>
      </c>
      <c r="P62" s="19">
        <f t="shared" ref="P62" si="117">+P61*P60</f>
        <v>80199.965138279367</v>
      </c>
      <c r="Q62" s="19">
        <f t="shared" ref="Q62" si="118">+Q61*Q60</f>
        <v>80990.207999999955</v>
      </c>
      <c r="R62" s="19">
        <f t="shared" ref="R62" si="119">+R61*R60</f>
        <v>81788.237445909501</v>
      </c>
      <c r="S62" s="19">
        <f t="shared" ref="S62" si="120">+S61*S60</f>
        <v>82594.130200387663</v>
      </c>
      <c r="T62" s="19">
        <f t="shared" ref="T62" si="121">+T61*T60</f>
        <v>83407.963743810542</v>
      </c>
      <c r="U62" s="19">
        <f t="shared" ref="U62" si="122">+U61*U60</f>
        <v>84229.816319999954</v>
      </c>
      <c r="V62" s="19">
        <f t="shared" ref="V62" si="123">+V61*V60</f>
        <v>85059.766943745868</v>
      </c>
      <c r="W62" s="19">
        <f t="shared" ref="W62" si="124">+W61*W60</f>
        <v>85897.895408403143</v>
      </c>
      <c r="X62" s="19">
        <f t="shared" ref="X62" si="125">+X61*X60</f>
        <v>86744.282293562937</v>
      </c>
    </row>
    <row r="64" spans="1:24" x14ac:dyDescent="0.3">
      <c r="A64" s="29" t="s">
        <v>32</v>
      </c>
    </row>
    <row r="65" spans="1:24" x14ac:dyDescent="0.3">
      <c r="A65" s="28" t="s">
        <v>46</v>
      </c>
      <c r="C65" t="str">
        <f>+Currency</f>
        <v>Rub '000'</v>
      </c>
      <c r="D65" t="s">
        <v>42</v>
      </c>
      <c r="E65" s="19">
        <f t="shared" ref="E65:X65" si="126">+SUMIF($D25:$D64,$D65,E25:E64)</f>
        <v>0</v>
      </c>
      <c r="F65" s="19">
        <f t="shared" si="126"/>
        <v>0</v>
      </c>
      <c r="G65" s="19">
        <f t="shared" si="126"/>
        <v>220522.39592386072</v>
      </c>
      <c r="H65" s="19">
        <f t="shared" si="126"/>
        <v>222695.2927440512</v>
      </c>
      <c r="I65" s="19">
        <f t="shared" si="126"/>
        <v>224889.59999999989</v>
      </c>
      <c r="J65" s="19">
        <f t="shared" si="126"/>
        <v>227105.52865743492</v>
      </c>
      <c r="K65" s="19">
        <f t="shared" si="126"/>
        <v>229343.29176081513</v>
      </c>
      <c r="L65" s="19">
        <f t="shared" si="126"/>
        <v>231603.10445381317</v>
      </c>
      <c r="M65" s="19">
        <f t="shared" si="126"/>
        <v>233885.18399999989</v>
      </c>
      <c r="N65" s="19">
        <f t="shared" si="126"/>
        <v>236189.74980373227</v>
      </c>
      <c r="O65" s="19">
        <f t="shared" si="126"/>
        <v>238517.02343124768</v>
      </c>
      <c r="P65" s="19">
        <f t="shared" si="126"/>
        <v>240867.2286319657</v>
      </c>
      <c r="Q65" s="19">
        <f t="shared" si="126"/>
        <v>243240.59135999987</v>
      </c>
      <c r="R65" s="19">
        <f t="shared" si="126"/>
        <v>245637.33979588156</v>
      </c>
      <c r="S65" s="19">
        <f t="shared" si="126"/>
        <v>248057.70436849759</v>
      </c>
      <c r="T65" s="19">
        <f t="shared" si="126"/>
        <v>250501.91777724432</v>
      </c>
      <c r="U65" s="19">
        <f t="shared" si="126"/>
        <v>252970.2150143999</v>
      </c>
      <c r="V65" s="19">
        <f t="shared" si="126"/>
        <v>255462.83338771679</v>
      </c>
      <c r="W65" s="19">
        <f t="shared" si="126"/>
        <v>257980.01254323748</v>
      </c>
      <c r="X65" s="19">
        <f t="shared" si="126"/>
        <v>260521.99448833399</v>
      </c>
    </row>
    <row r="68" spans="1:24" ht="15" thickBot="1" x14ac:dyDescent="0.35">
      <c r="A68" s="6" t="s">
        <v>47</v>
      </c>
      <c r="B68" s="6"/>
      <c r="C68" s="6"/>
      <c r="D68" s="6"/>
      <c r="E68" s="7" t="str">
        <f t="shared" ref="E68:X68" si="127">+E$2</f>
        <v>1Q 2024</v>
      </c>
      <c r="F68" s="7" t="str">
        <f t="shared" si="127"/>
        <v>2Q 2024</v>
      </c>
      <c r="G68" s="7" t="str">
        <f t="shared" si="127"/>
        <v>3Q 2024</v>
      </c>
      <c r="H68" s="7" t="str">
        <f t="shared" si="127"/>
        <v>4Q 2024</v>
      </c>
      <c r="I68" s="7" t="str">
        <f t="shared" si="127"/>
        <v>1Q 2025</v>
      </c>
      <c r="J68" s="7" t="str">
        <f t="shared" si="127"/>
        <v>2Q 2025</v>
      </c>
      <c r="K68" s="7" t="str">
        <f t="shared" si="127"/>
        <v>3Q 2025</v>
      </c>
      <c r="L68" s="7" t="str">
        <f t="shared" si="127"/>
        <v>4Q 2025</v>
      </c>
      <c r="M68" s="7" t="str">
        <f t="shared" si="127"/>
        <v>1Q 2026</v>
      </c>
      <c r="N68" s="7" t="str">
        <f t="shared" si="127"/>
        <v>2Q 2026</v>
      </c>
      <c r="O68" s="7" t="str">
        <f t="shared" si="127"/>
        <v>3Q 2026</v>
      </c>
      <c r="P68" s="7" t="str">
        <f t="shared" si="127"/>
        <v>4Q 2026</v>
      </c>
      <c r="Q68" s="7" t="str">
        <f t="shared" si="127"/>
        <v>1Q 2027</v>
      </c>
      <c r="R68" s="7" t="str">
        <f t="shared" si="127"/>
        <v>2Q 2027</v>
      </c>
      <c r="S68" s="7" t="str">
        <f t="shared" si="127"/>
        <v>3Q 2027</v>
      </c>
      <c r="T68" s="7" t="str">
        <f t="shared" si="127"/>
        <v>4Q 2027</v>
      </c>
      <c r="U68" s="7" t="str">
        <f t="shared" si="127"/>
        <v>1Q 2028</v>
      </c>
      <c r="V68" s="7" t="str">
        <f t="shared" si="127"/>
        <v>2Q 2028</v>
      </c>
      <c r="W68" s="7" t="str">
        <f t="shared" si="127"/>
        <v>3Q 2028</v>
      </c>
      <c r="X68" s="7" t="str">
        <f t="shared" si="127"/>
        <v>4Q 2028</v>
      </c>
    </row>
    <row r="69" spans="1:24" ht="15" thickTop="1" x14ac:dyDescent="0.3"/>
    <row r="70" spans="1:24" x14ac:dyDescent="0.3">
      <c r="A70" s="16" t="s">
        <v>48</v>
      </c>
      <c r="C70" t="str">
        <f>+Currency</f>
        <v>Rub '000'</v>
      </c>
      <c r="E70" s="32">
        <f t="shared" ref="E70:X70" si="128">+SUM(E72:E76)</f>
        <v>0</v>
      </c>
      <c r="F70" s="32">
        <f t="shared" si="128"/>
        <v>0</v>
      </c>
      <c r="G70" s="32">
        <f t="shared" si="128"/>
        <v>47165.930500733251</v>
      </c>
      <c r="H70" s="32">
        <f t="shared" si="128"/>
        <v>47630.675589217382</v>
      </c>
      <c r="I70" s="32">
        <f t="shared" si="128"/>
        <v>48099.999999999985</v>
      </c>
      <c r="J70" s="32">
        <f t="shared" si="128"/>
        <v>48573.948855005387</v>
      </c>
      <c r="K70" s="32">
        <f t="shared" si="128"/>
        <v>49052.567720762578</v>
      </c>
      <c r="L70" s="32">
        <f t="shared" si="128"/>
        <v>49535.902612786071</v>
      </c>
      <c r="M70" s="32">
        <f t="shared" si="128"/>
        <v>50023.999999999978</v>
      </c>
      <c r="N70" s="32">
        <f t="shared" si="128"/>
        <v>50516.90680920559</v>
      </c>
      <c r="O70" s="32">
        <f t="shared" si="128"/>
        <v>51014.670429593069</v>
      </c>
      <c r="P70" s="32">
        <f t="shared" si="128"/>
        <v>51517.338717297513</v>
      </c>
      <c r="Q70" s="32">
        <f t="shared" si="128"/>
        <v>52024.959999999977</v>
      </c>
      <c r="R70" s="32">
        <f t="shared" si="128"/>
        <v>52537.583081573815</v>
      </c>
      <c r="S70" s="32">
        <f t="shared" si="128"/>
        <v>53055.257246776797</v>
      </c>
      <c r="T70" s="32">
        <f t="shared" si="128"/>
        <v>53578.032265989408</v>
      </c>
      <c r="U70" s="32">
        <f t="shared" si="128"/>
        <v>54105.95839999996</v>
      </c>
      <c r="V70" s="32">
        <f t="shared" si="128"/>
        <v>54639.086404836751</v>
      </c>
      <c r="W70" s="32">
        <f t="shared" si="128"/>
        <v>55177.467536647848</v>
      </c>
      <c r="X70" s="32">
        <f t="shared" si="128"/>
        <v>55721.153556628968</v>
      </c>
    </row>
    <row r="71" spans="1:24" x14ac:dyDescent="0.3">
      <c r="A71" t="s">
        <v>49</v>
      </c>
      <c r="C71" t="s">
        <v>14</v>
      </c>
      <c r="E71" s="37">
        <f t="shared" ref="E71:X71" si="129">+E$6</f>
        <v>0</v>
      </c>
      <c r="F71" s="37">
        <f t="shared" si="129"/>
        <v>0</v>
      </c>
      <c r="G71" s="37">
        <f t="shared" si="129"/>
        <v>1</v>
      </c>
      <c r="H71" s="37">
        <f t="shared" si="129"/>
        <v>1</v>
      </c>
      <c r="I71" s="37">
        <f t="shared" si="129"/>
        <v>1</v>
      </c>
      <c r="J71" s="37">
        <f t="shared" si="129"/>
        <v>1</v>
      </c>
      <c r="K71" s="37">
        <f t="shared" si="129"/>
        <v>1</v>
      </c>
      <c r="L71" s="37">
        <f t="shared" si="129"/>
        <v>1</v>
      </c>
      <c r="M71" s="37">
        <f t="shared" si="129"/>
        <v>1</v>
      </c>
      <c r="N71" s="37">
        <f t="shared" si="129"/>
        <v>1</v>
      </c>
      <c r="O71" s="37">
        <f t="shared" si="129"/>
        <v>1</v>
      </c>
      <c r="P71" s="37">
        <f t="shared" si="129"/>
        <v>1</v>
      </c>
      <c r="Q71" s="37">
        <f t="shared" si="129"/>
        <v>1</v>
      </c>
      <c r="R71" s="37">
        <f t="shared" si="129"/>
        <v>1</v>
      </c>
      <c r="S71" s="37">
        <f t="shared" si="129"/>
        <v>1</v>
      </c>
      <c r="T71" s="37">
        <f t="shared" si="129"/>
        <v>1</v>
      </c>
      <c r="U71" s="37">
        <f t="shared" si="129"/>
        <v>1</v>
      </c>
      <c r="V71" s="37">
        <f t="shared" si="129"/>
        <v>1</v>
      </c>
      <c r="W71" s="37">
        <f t="shared" si="129"/>
        <v>1</v>
      </c>
      <c r="X71" s="37">
        <f t="shared" si="129"/>
        <v>1</v>
      </c>
    </row>
    <row r="72" spans="1:24" x14ac:dyDescent="0.3">
      <c r="A72" t="s">
        <v>50</v>
      </c>
      <c r="B72" s="30">
        <v>18750</v>
      </c>
      <c r="C72" t="str">
        <f>+Currency</f>
        <v>Rub '000'</v>
      </c>
      <c r="E72" s="17">
        <f>+$B72*E$71*Macro!E$18</f>
        <v>0</v>
      </c>
      <c r="F72" s="17">
        <f>+$B72*F$71*Macro!F$18</f>
        <v>0</v>
      </c>
      <c r="G72" s="19">
        <f>+$B72*G$71*Macro!G$18</f>
        <v>19121.323175972939</v>
      </c>
      <c r="H72" s="19">
        <f>+$B72*H$71*Macro!H$18</f>
        <v>19309.733346980018</v>
      </c>
      <c r="I72" s="19">
        <f>+$B72*I$71*Macro!I$18</f>
        <v>19499.999999999993</v>
      </c>
      <c r="J72" s="19">
        <f>+$B72*J$71*Macro!J$18</f>
        <v>19692.141427704886</v>
      </c>
      <c r="K72" s="19">
        <f>+$B72*K$71*Macro!K$18</f>
        <v>19886.176103011854</v>
      </c>
      <c r="L72" s="19">
        <f>+$B72*L$71*Macro!L$18</f>
        <v>20082.122680859218</v>
      </c>
      <c r="M72" s="19">
        <f>+$B72*M$71*Macro!M$18</f>
        <v>20279.999999999989</v>
      </c>
      <c r="N72" s="19">
        <f>+$B72*N$71*Macro!N$18</f>
        <v>20479.827084813078</v>
      </c>
      <c r="O72" s="19">
        <f>+$B72*O$71*Macro!O$18</f>
        <v>20681.623147132326</v>
      </c>
      <c r="P72" s="19">
        <f>+$B72*P$71*Macro!P$18</f>
        <v>20885.407588093585</v>
      </c>
      <c r="Q72" s="19">
        <f>+$B72*Q$71*Macro!Q$18</f>
        <v>21091.19999999999</v>
      </c>
      <c r="R72" s="19">
        <f>+$B72*R$71*Macro!R$18</f>
        <v>21299.020168205599</v>
      </c>
      <c r="S72" s="19">
        <f>+$B72*S$71*Macro!S$18</f>
        <v>21508.888073017621</v>
      </c>
      <c r="T72" s="19">
        <f>+$B72*T$71*Macro!T$18</f>
        <v>21720.823891617329</v>
      </c>
      <c r="U72" s="19">
        <f>+$B72*U$71*Macro!U$18</f>
        <v>21934.847999999987</v>
      </c>
      <c r="V72" s="19">
        <f>+$B72*V$71*Macro!V$18</f>
        <v>22150.98097493382</v>
      </c>
      <c r="W72" s="19">
        <f>+$B72*W$71*Macro!W$18</f>
        <v>22369.243595938318</v>
      </c>
      <c r="X72" s="19">
        <f>+$B72*X$71*Macro!X$18</f>
        <v>22589.656847282014</v>
      </c>
    </row>
    <row r="73" spans="1:24" x14ac:dyDescent="0.3">
      <c r="A73" t="s">
        <v>51</v>
      </c>
      <c r="B73" s="31">
        <v>12000</v>
      </c>
      <c r="C73" t="str">
        <f>+Currency</f>
        <v>Rub '000'</v>
      </c>
      <c r="E73" s="17">
        <f>+$B73*E$71*Macro!E$18</f>
        <v>0</v>
      </c>
      <c r="F73" s="17">
        <f>+$B73*F$71*Macro!F$18</f>
        <v>0</v>
      </c>
      <c r="G73" s="19">
        <f>+$B73*G$71*Macro!G$18</f>
        <v>12237.646832622682</v>
      </c>
      <c r="H73" s="19">
        <f>+$B73*H$71*Macro!H$18</f>
        <v>12358.229342067212</v>
      </c>
      <c r="I73" s="19">
        <f>+$B73*I$71*Macro!I$18</f>
        <v>12479.999999999995</v>
      </c>
      <c r="J73" s="19">
        <f>+$B73*J$71*Macro!J$18</f>
        <v>12602.970513731127</v>
      </c>
      <c r="K73" s="19">
        <f>+$B73*K$71*Macro!K$18</f>
        <v>12727.152705927587</v>
      </c>
      <c r="L73" s="19">
        <f>+$B73*L$71*Macro!L$18</f>
        <v>12852.558515749899</v>
      </c>
      <c r="M73" s="19">
        <f>+$B73*M$71*Macro!M$18</f>
        <v>12979.199999999993</v>
      </c>
      <c r="N73" s="19">
        <f>+$B73*N$71*Macro!N$18</f>
        <v>13107.08933428037</v>
      </c>
      <c r="O73" s="19">
        <f>+$B73*O$71*Macro!O$18</f>
        <v>13236.238814164688</v>
      </c>
      <c r="P73" s="19">
        <f>+$B73*P$71*Macro!P$18</f>
        <v>13366.660856379895</v>
      </c>
      <c r="Q73" s="19">
        <f>+$B73*Q$71*Macro!Q$18</f>
        <v>13498.367999999993</v>
      </c>
      <c r="R73" s="19">
        <f>+$B73*R$71*Macro!R$18</f>
        <v>13631.372907651585</v>
      </c>
      <c r="S73" s="19">
        <f>+$B73*S$71*Macro!S$18</f>
        <v>13765.688366731276</v>
      </c>
      <c r="T73" s="19">
        <f>+$B73*T$71*Macro!T$18</f>
        <v>13901.32729063509</v>
      </c>
      <c r="U73" s="19">
        <f>+$B73*U$71*Macro!U$18</f>
        <v>14038.302719999992</v>
      </c>
      <c r="V73" s="19">
        <f>+$B73*V$71*Macro!V$18</f>
        <v>14176.627823957646</v>
      </c>
      <c r="W73" s="19">
        <f>+$B73*W$71*Macro!W$18</f>
        <v>14316.315901400525</v>
      </c>
      <c r="X73" s="19">
        <f>+$B73*X$71*Macro!X$18</f>
        <v>14457.38038226049</v>
      </c>
    </row>
    <row r="74" spans="1:24" x14ac:dyDescent="0.3">
      <c r="A74" t="s">
        <v>52</v>
      </c>
      <c r="B74" s="31">
        <v>8000</v>
      </c>
      <c r="C74" t="str">
        <f>+Currency</f>
        <v>Rub '000'</v>
      </c>
      <c r="E74" s="17">
        <f>+$B74*E$71*Macro!E$18</f>
        <v>0</v>
      </c>
      <c r="F74" s="17">
        <f>+$B74*F$71*Macro!F$18</f>
        <v>0</v>
      </c>
      <c r="G74" s="19">
        <f>+$B74*G$71*Macro!G$18</f>
        <v>8158.4312217484548</v>
      </c>
      <c r="H74" s="19">
        <f>+$B74*H$71*Macro!H$18</f>
        <v>8238.8195613781409</v>
      </c>
      <c r="I74" s="19">
        <f>+$B74*I$71*Macro!I$18</f>
        <v>8319.9999999999964</v>
      </c>
      <c r="J74" s="19">
        <f>+$B74*J$71*Macro!J$18</f>
        <v>8401.9803424874171</v>
      </c>
      <c r="K74" s="19">
        <f>+$B74*K$71*Macro!K$18</f>
        <v>8484.7684706183918</v>
      </c>
      <c r="L74" s="19">
        <f>+$B74*L$71*Macro!L$18</f>
        <v>8568.3723438332654</v>
      </c>
      <c r="M74" s="19">
        <f>+$B74*M$71*Macro!M$18</f>
        <v>8652.7999999999956</v>
      </c>
      <c r="N74" s="19">
        <f>+$B74*N$71*Macro!N$18</f>
        <v>8738.0595561869141</v>
      </c>
      <c r="O74" s="19">
        <f>+$B74*O$71*Macro!O$18</f>
        <v>8824.1592094431253</v>
      </c>
      <c r="P74" s="19">
        <f>+$B74*P$71*Macro!P$18</f>
        <v>8911.107237586597</v>
      </c>
      <c r="Q74" s="19">
        <f>+$B74*Q$71*Macro!Q$18</f>
        <v>8998.9119999999948</v>
      </c>
      <c r="R74" s="19">
        <f>+$B74*R$71*Macro!R$18</f>
        <v>9087.5819384343904</v>
      </c>
      <c r="S74" s="19">
        <f>+$B74*S$71*Macro!S$18</f>
        <v>9177.1255778208506</v>
      </c>
      <c r="T74" s="19">
        <f>+$B74*T$71*Macro!T$18</f>
        <v>9267.5515270900596</v>
      </c>
      <c r="U74" s="19">
        <f>+$B74*U$71*Macro!U$18</f>
        <v>9358.8684799999937</v>
      </c>
      <c r="V74" s="19">
        <f>+$B74*V$71*Macro!V$18</f>
        <v>9451.0852159717633</v>
      </c>
      <c r="W74" s="19">
        <f>+$B74*W$71*Macro!W$18</f>
        <v>9544.2106009336821</v>
      </c>
      <c r="X74" s="19">
        <f>+$B74*X$71*Macro!X$18</f>
        <v>9638.2535881736603</v>
      </c>
    </row>
    <row r="75" spans="1:24" x14ac:dyDescent="0.3">
      <c r="A75" t="s">
        <v>53</v>
      </c>
      <c r="B75" s="31">
        <v>4000</v>
      </c>
      <c r="C75" t="str">
        <f>+Currency</f>
        <v>Rub '000'</v>
      </c>
      <c r="E75" s="17">
        <f>+$B75*E$71*Macro!E$18</f>
        <v>0</v>
      </c>
      <c r="F75" s="17">
        <f>+$B75*F$71*Macro!F$18</f>
        <v>0</v>
      </c>
      <c r="G75" s="19">
        <f>+$B75*G$71*Macro!G$18</f>
        <v>4079.2156108742274</v>
      </c>
      <c r="H75" s="19">
        <f>+$B75*H$71*Macro!H$18</f>
        <v>4119.4097806890704</v>
      </c>
      <c r="I75" s="19">
        <f>+$B75*I$71*Macro!I$18</f>
        <v>4159.9999999999982</v>
      </c>
      <c r="J75" s="19">
        <f>+$B75*J$71*Macro!J$18</f>
        <v>4200.9901712437086</v>
      </c>
      <c r="K75" s="19">
        <f>+$B75*K$71*Macro!K$18</f>
        <v>4242.3842353091959</v>
      </c>
      <c r="L75" s="19">
        <f>+$B75*L$71*Macro!L$18</f>
        <v>4284.1861719166327</v>
      </c>
      <c r="M75" s="19">
        <f>+$B75*M$71*Macro!M$18</f>
        <v>4326.3999999999978</v>
      </c>
      <c r="N75" s="19">
        <f>+$B75*N$71*Macro!N$18</f>
        <v>4369.029778093457</v>
      </c>
      <c r="O75" s="19">
        <f>+$B75*O$71*Macro!O$18</f>
        <v>4412.0796047215626</v>
      </c>
      <c r="P75" s="19">
        <f>+$B75*P$71*Macro!P$18</f>
        <v>4455.5536187932985</v>
      </c>
      <c r="Q75" s="19">
        <f>+$B75*Q$71*Macro!Q$18</f>
        <v>4499.4559999999974</v>
      </c>
      <c r="R75" s="19">
        <f>+$B75*R$71*Macro!R$18</f>
        <v>4543.7909692171952</v>
      </c>
      <c r="S75" s="19">
        <f>+$B75*S$71*Macro!S$18</f>
        <v>4588.5627889104253</v>
      </c>
      <c r="T75" s="19">
        <f>+$B75*T$71*Macro!T$18</f>
        <v>4633.7757635450298</v>
      </c>
      <c r="U75" s="19">
        <f>+$B75*U$71*Macro!U$18</f>
        <v>4679.4342399999969</v>
      </c>
      <c r="V75" s="19">
        <f>+$B75*V$71*Macro!V$18</f>
        <v>4725.5426079858817</v>
      </c>
      <c r="W75" s="19">
        <f>+$B75*W$71*Macro!W$18</f>
        <v>4772.1053004668411</v>
      </c>
      <c r="X75" s="19">
        <f>+$B75*X$71*Macro!X$18</f>
        <v>4819.1267940868302</v>
      </c>
    </row>
    <row r="76" spans="1:24" x14ac:dyDescent="0.3">
      <c r="A76" t="s">
        <v>54</v>
      </c>
      <c r="B76" s="31">
        <v>3500</v>
      </c>
      <c r="C76" t="str">
        <f>+Currency</f>
        <v>Rub '000'</v>
      </c>
      <c r="E76" s="17">
        <f>+$B76*E$71*Macro!E$18</f>
        <v>0</v>
      </c>
      <c r="F76" s="17">
        <f>+$B76*F$71*Macro!F$18</f>
        <v>0</v>
      </c>
      <c r="G76" s="19">
        <f>+$B76*G$71*Macro!G$18</f>
        <v>3569.313659514949</v>
      </c>
      <c r="H76" s="19">
        <f>+$B76*H$71*Macro!H$18</f>
        <v>3604.483558102937</v>
      </c>
      <c r="I76" s="19">
        <f>+$B76*I$71*Macro!I$18</f>
        <v>3639.9999999999986</v>
      </c>
      <c r="J76" s="19">
        <f>+$B76*J$71*Macro!J$18</f>
        <v>3675.8663998382453</v>
      </c>
      <c r="K76" s="19">
        <f>+$B76*K$71*Macro!K$18</f>
        <v>3712.0862058955463</v>
      </c>
      <c r="L76" s="19">
        <f>+$B76*L$71*Macro!L$18</f>
        <v>3748.662900427054</v>
      </c>
      <c r="M76" s="19">
        <f>+$B76*M$71*Macro!M$18</f>
        <v>3785.5999999999981</v>
      </c>
      <c r="N76" s="19">
        <f>+$B76*N$71*Macro!N$18</f>
        <v>3822.9010558317746</v>
      </c>
      <c r="O76" s="19">
        <f>+$B76*O$71*Macro!O$18</f>
        <v>3860.5696541313678</v>
      </c>
      <c r="P76" s="19">
        <f>+$B76*P$71*Macro!P$18</f>
        <v>3898.6094164441361</v>
      </c>
      <c r="Q76" s="19">
        <f>+$B76*Q$71*Macro!Q$18</f>
        <v>3937.0239999999981</v>
      </c>
      <c r="R76" s="19">
        <f>+$B76*R$71*Macro!R$18</f>
        <v>3975.8170980650457</v>
      </c>
      <c r="S76" s="19">
        <f>+$B76*S$71*Macro!S$18</f>
        <v>4014.9924402966221</v>
      </c>
      <c r="T76" s="19">
        <f>+$B76*T$71*Macro!T$18</f>
        <v>4054.5537931019012</v>
      </c>
      <c r="U76" s="19">
        <f>+$B76*U$71*Macro!U$18</f>
        <v>4094.5049599999975</v>
      </c>
      <c r="V76" s="19">
        <f>+$B76*V$71*Macro!V$18</f>
        <v>4134.8497819876466</v>
      </c>
      <c r="W76" s="19">
        <f>+$B76*W$71*Macro!W$18</f>
        <v>4175.5921379084866</v>
      </c>
      <c r="X76" s="19">
        <f>+$B76*X$71*Macro!X$18</f>
        <v>4216.7359448259758</v>
      </c>
    </row>
    <row r="78" spans="1:24" x14ac:dyDescent="0.3">
      <c r="A78" s="16" t="s">
        <v>55</v>
      </c>
      <c r="C78" t="str">
        <f>+Currency</f>
        <v>Rub '000'</v>
      </c>
      <c r="E78" s="35">
        <f t="shared" ref="E78:X78" si="130">+SUM(E80:E81)</f>
        <v>0</v>
      </c>
      <c r="F78" s="35">
        <f t="shared" si="130"/>
        <v>0</v>
      </c>
      <c r="G78" s="35">
        <f t="shared" si="130"/>
        <v>27738.666153944745</v>
      </c>
      <c r="H78" s="35">
        <f t="shared" si="130"/>
        <v>28011.986508685684</v>
      </c>
      <c r="I78" s="35">
        <f t="shared" si="130"/>
        <v>28287.999999999989</v>
      </c>
      <c r="J78" s="35">
        <f t="shared" si="130"/>
        <v>28566.733164457222</v>
      </c>
      <c r="K78" s="35">
        <f t="shared" si="130"/>
        <v>28848.212800102534</v>
      </c>
      <c r="L78" s="35">
        <f t="shared" si="130"/>
        <v>29132.465969033106</v>
      </c>
      <c r="M78" s="35">
        <f t="shared" si="130"/>
        <v>29419.519999999982</v>
      </c>
      <c r="N78" s="35">
        <f t="shared" si="130"/>
        <v>29709.402491035504</v>
      </c>
      <c r="O78" s="35">
        <f t="shared" si="130"/>
        <v>30002.141312106629</v>
      </c>
      <c r="P78" s="35">
        <f t="shared" si="130"/>
        <v>30297.76460779443</v>
      </c>
      <c r="Q78" s="35">
        <f t="shared" si="130"/>
        <v>30596.300799999986</v>
      </c>
      <c r="R78" s="35">
        <f t="shared" si="130"/>
        <v>30897.778590676928</v>
      </c>
      <c r="S78" s="35">
        <f t="shared" si="130"/>
        <v>31202.226964590893</v>
      </c>
      <c r="T78" s="35">
        <f t="shared" si="130"/>
        <v>31509.675192106202</v>
      </c>
      <c r="U78" s="35">
        <f t="shared" si="130"/>
        <v>31820.152831999982</v>
      </c>
      <c r="V78" s="35">
        <f t="shared" si="130"/>
        <v>32133.689734303996</v>
      </c>
      <c r="W78" s="35">
        <f t="shared" si="130"/>
        <v>32450.31604317452</v>
      </c>
      <c r="X78" s="35">
        <f t="shared" si="130"/>
        <v>32770.062199790445</v>
      </c>
    </row>
    <row r="79" spans="1:24" x14ac:dyDescent="0.3">
      <c r="A79" t="s">
        <v>49</v>
      </c>
      <c r="C79" t="s">
        <v>14</v>
      </c>
      <c r="E79" s="37">
        <f t="shared" ref="E79:X79" si="131">+E$6</f>
        <v>0</v>
      </c>
      <c r="F79" s="37">
        <f t="shared" si="131"/>
        <v>0</v>
      </c>
      <c r="G79" s="37">
        <f t="shared" si="131"/>
        <v>1</v>
      </c>
      <c r="H79" s="37">
        <f t="shared" si="131"/>
        <v>1</v>
      </c>
      <c r="I79" s="37">
        <f t="shared" si="131"/>
        <v>1</v>
      </c>
      <c r="J79" s="37">
        <f t="shared" si="131"/>
        <v>1</v>
      </c>
      <c r="K79" s="37">
        <f t="shared" si="131"/>
        <v>1</v>
      </c>
      <c r="L79" s="37">
        <f t="shared" si="131"/>
        <v>1</v>
      </c>
      <c r="M79" s="37">
        <f t="shared" si="131"/>
        <v>1</v>
      </c>
      <c r="N79" s="37">
        <f t="shared" si="131"/>
        <v>1</v>
      </c>
      <c r="O79" s="37">
        <f t="shared" si="131"/>
        <v>1</v>
      </c>
      <c r="P79" s="37">
        <f t="shared" si="131"/>
        <v>1</v>
      </c>
      <c r="Q79" s="37">
        <f t="shared" si="131"/>
        <v>1</v>
      </c>
      <c r="R79" s="37">
        <f t="shared" si="131"/>
        <v>1</v>
      </c>
      <c r="S79" s="37">
        <f t="shared" si="131"/>
        <v>1</v>
      </c>
      <c r="T79" s="37">
        <f t="shared" si="131"/>
        <v>1</v>
      </c>
      <c r="U79" s="37">
        <f t="shared" si="131"/>
        <v>1</v>
      </c>
      <c r="V79" s="37">
        <f t="shared" si="131"/>
        <v>1</v>
      </c>
      <c r="W79" s="37">
        <f t="shared" si="131"/>
        <v>1</v>
      </c>
      <c r="X79" s="37">
        <f t="shared" si="131"/>
        <v>1</v>
      </c>
    </row>
    <row r="80" spans="1:24" x14ac:dyDescent="0.3">
      <c r="A80" t="s">
        <v>56</v>
      </c>
      <c r="B80" s="33">
        <v>1600</v>
      </c>
      <c r="C80" t="str">
        <f>+Currency</f>
        <v>Rub '000'</v>
      </c>
      <c r="E80" s="36">
        <f>+$B80*E$71*Macro!E$18</f>
        <v>0</v>
      </c>
      <c r="F80" s="36">
        <f>+$B80*F$71*Macro!F$18</f>
        <v>0</v>
      </c>
      <c r="G80" s="36">
        <f>+$B80*G$71*Macro!G$18</f>
        <v>1631.6862443496909</v>
      </c>
      <c r="H80" s="36">
        <f>+$B80*H$71*Macro!H$18</f>
        <v>1647.7639122756284</v>
      </c>
      <c r="I80" s="36">
        <f>+$B80*I$71*Macro!I$18</f>
        <v>1663.9999999999993</v>
      </c>
      <c r="J80" s="36">
        <f>+$B80*J$71*Macro!J$18</f>
        <v>1680.3960684974836</v>
      </c>
      <c r="K80" s="36">
        <f>+$B80*K$71*Macro!K$18</f>
        <v>1696.9536941236784</v>
      </c>
      <c r="L80" s="36">
        <f>+$B80*L$71*Macro!L$18</f>
        <v>1713.6744687666533</v>
      </c>
      <c r="M80" s="36">
        <f>+$B80*M$71*Macro!M$18</f>
        <v>1730.559999999999</v>
      </c>
      <c r="N80" s="36">
        <f>+$B80*N$71*Macro!N$18</f>
        <v>1747.6119112373826</v>
      </c>
      <c r="O80" s="36">
        <f>+$B80*O$71*Macro!O$18</f>
        <v>1764.8318418886251</v>
      </c>
      <c r="P80" s="36">
        <f>+$B80*P$71*Macro!P$18</f>
        <v>1782.2214475173193</v>
      </c>
      <c r="Q80" s="36">
        <f>+$B80*Q$71*Macro!Q$18</f>
        <v>1799.7823999999991</v>
      </c>
      <c r="R80" s="36">
        <f>+$B80*R$71*Macro!R$18</f>
        <v>1817.516387686878</v>
      </c>
      <c r="S80" s="36">
        <f>+$B80*S$71*Macro!S$18</f>
        <v>1835.4251155641703</v>
      </c>
      <c r="T80" s="36">
        <f>+$B80*T$71*Macro!T$18</f>
        <v>1853.510305418012</v>
      </c>
      <c r="U80" s="36">
        <f>+$B80*U$71*Macro!U$18</f>
        <v>1871.7736959999988</v>
      </c>
      <c r="V80" s="36">
        <f>+$B80*V$71*Macro!V$18</f>
        <v>1890.2170431943528</v>
      </c>
      <c r="W80" s="36">
        <f>+$B80*W$71*Macro!W$18</f>
        <v>1908.8421201867366</v>
      </c>
      <c r="X80" s="36">
        <f>+$B80*X$71*Macro!X$18</f>
        <v>1927.650717634732</v>
      </c>
    </row>
    <row r="81" spans="1:24" x14ac:dyDescent="0.3">
      <c r="A81" t="s">
        <v>57</v>
      </c>
      <c r="B81" s="34">
        <v>8</v>
      </c>
      <c r="C81" t="s">
        <v>58</v>
      </c>
      <c r="E81" s="36">
        <f>+$B81*(E10+E16)*Macro!E$18</f>
        <v>0</v>
      </c>
      <c r="F81" s="36">
        <f>+$B81*(F10+F16)*Macro!F$18</f>
        <v>0</v>
      </c>
      <c r="G81" s="36">
        <f>+$B81*(G10+G16)*Macro!G$18</f>
        <v>26106.979909595055</v>
      </c>
      <c r="H81" s="36">
        <f>+$B81*(H10+H16)*Macro!H$18</f>
        <v>26364.222596410054</v>
      </c>
      <c r="I81" s="36">
        <f>+$B81*(I10+I16)*Macro!I$18</f>
        <v>26623.999999999989</v>
      </c>
      <c r="J81" s="36">
        <f>+$B81*(J10+J16)*Macro!J$18</f>
        <v>26886.337095959738</v>
      </c>
      <c r="K81" s="36">
        <f>+$B81*(K10+K16)*Macro!K$18</f>
        <v>27151.259105978854</v>
      </c>
      <c r="L81" s="36">
        <f>+$B81*(L10+L16)*Macro!L$18</f>
        <v>27418.791500266452</v>
      </c>
      <c r="M81" s="36">
        <f>+$B81*(M10+M16)*Macro!M$18</f>
        <v>27688.959999999985</v>
      </c>
      <c r="N81" s="36">
        <f>+$B81*(N10+N16)*Macro!N$18</f>
        <v>27961.790579798122</v>
      </c>
      <c r="O81" s="36">
        <f>+$B81*(O10+O16)*Macro!O$18</f>
        <v>28237.309470218002</v>
      </c>
      <c r="P81" s="36">
        <f>+$B81*(P10+P16)*Macro!P$18</f>
        <v>28515.54316027711</v>
      </c>
      <c r="Q81" s="36">
        <f>+$B81*(Q10+Q16)*Macro!Q$18</f>
        <v>28796.518399999986</v>
      </c>
      <c r="R81" s="36">
        <f>+$B81*(R10+R16)*Macro!R$18</f>
        <v>29080.262202990049</v>
      </c>
      <c r="S81" s="36">
        <f>+$B81*(S10+S16)*Macro!S$18</f>
        <v>29366.801849026724</v>
      </c>
      <c r="T81" s="36">
        <f>+$B81*(T10+T16)*Macro!T$18</f>
        <v>29656.164886688191</v>
      </c>
      <c r="U81" s="36">
        <f>+$B81*(U10+U16)*Macro!U$18</f>
        <v>29948.379135999981</v>
      </c>
      <c r="V81" s="36">
        <f>+$B81*(V10+V16)*Macro!V$18</f>
        <v>30243.472691109644</v>
      </c>
      <c r="W81" s="36">
        <f>+$B81*(W10+W16)*Macro!W$18</f>
        <v>30541.473922987785</v>
      </c>
      <c r="X81" s="36">
        <f>+$B81*(X10+X16)*Macro!X$18</f>
        <v>30842.411482155712</v>
      </c>
    </row>
    <row r="83" spans="1:24" x14ac:dyDescent="0.3">
      <c r="A83" s="16" t="s">
        <v>59</v>
      </c>
      <c r="C83" t="str">
        <f>+Currency</f>
        <v>Rub '000'</v>
      </c>
      <c r="E83" s="35">
        <f>+SUM(E85:E87)</f>
        <v>0</v>
      </c>
      <c r="F83" s="35">
        <f>+SUM(F85:F87)</f>
        <v>0</v>
      </c>
      <c r="G83" s="35">
        <f t="shared" ref="G83:X83" si="132">+SUM(G85:G87)</f>
        <v>8770.3135633795901</v>
      </c>
      <c r="H83" s="35">
        <f t="shared" si="132"/>
        <v>8856.731028481503</v>
      </c>
      <c r="I83" s="35">
        <f t="shared" si="132"/>
        <v>8943.9999999999964</v>
      </c>
      <c r="J83" s="35">
        <f t="shared" si="132"/>
        <v>9032.1288681739734</v>
      </c>
      <c r="K83" s="35">
        <f t="shared" si="132"/>
        <v>9121.126105914771</v>
      </c>
      <c r="L83" s="35">
        <f t="shared" si="132"/>
        <v>9211.0002696207612</v>
      </c>
      <c r="M83" s="35">
        <f t="shared" si="132"/>
        <v>9301.7599999999948</v>
      </c>
      <c r="N83" s="35">
        <f t="shared" si="132"/>
        <v>9393.4140229009317</v>
      </c>
      <c r="O83" s="35">
        <f t="shared" si="132"/>
        <v>9485.9711501513593</v>
      </c>
      <c r="P83" s="35">
        <f t="shared" si="132"/>
        <v>9579.4402804055917</v>
      </c>
      <c r="Q83" s="35">
        <f t="shared" si="132"/>
        <v>9673.8303999999953</v>
      </c>
      <c r="R83" s="35">
        <f t="shared" si="132"/>
        <v>9769.1505838169687</v>
      </c>
      <c r="S83" s="35">
        <f t="shared" si="132"/>
        <v>9865.4099961574138</v>
      </c>
      <c r="T83" s="35">
        <f t="shared" si="132"/>
        <v>9962.6178916218141</v>
      </c>
      <c r="U83" s="35">
        <f t="shared" si="132"/>
        <v>10060.783615999993</v>
      </c>
      <c r="V83" s="35">
        <f t="shared" si="132"/>
        <v>10159.916607169645</v>
      </c>
      <c r="W83" s="35">
        <f t="shared" si="132"/>
        <v>10260.026396003708</v>
      </c>
      <c r="X83" s="35">
        <f t="shared" si="132"/>
        <v>10361.122607286685</v>
      </c>
    </row>
    <row r="84" spans="1:24" x14ac:dyDescent="0.3">
      <c r="A84" t="s">
        <v>49</v>
      </c>
      <c r="C84" t="s">
        <v>14</v>
      </c>
      <c r="E84" s="37">
        <f t="shared" ref="E84:X84" si="133">+E$6</f>
        <v>0</v>
      </c>
      <c r="F84" s="37">
        <f t="shared" si="133"/>
        <v>0</v>
      </c>
      <c r="G84" s="37">
        <f t="shared" si="133"/>
        <v>1</v>
      </c>
      <c r="H84" s="37">
        <f t="shared" si="133"/>
        <v>1</v>
      </c>
      <c r="I84" s="37">
        <f t="shared" si="133"/>
        <v>1</v>
      </c>
      <c r="J84" s="37">
        <f t="shared" si="133"/>
        <v>1</v>
      </c>
      <c r="K84" s="37">
        <f t="shared" si="133"/>
        <v>1</v>
      </c>
      <c r="L84" s="37">
        <f t="shared" si="133"/>
        <v>1</v>
      </c>
      <c r="M84" s="37">
        <f t="shared" si="133"/>
        <v>1</v>
      </c>
      <c r="N84" s="37">
        <f t="shared" si="133"/>
        <v>1</v>
      </c>
      <c r="O84" s="37">
        <f t="shared" si="133"/>
        <v>1</v>
      </c>
      <c r="P84" s="37">
        <f t="shared" si="133"/>
        <v>1</v>
      </c>
      <c r="Q84" s="37">
        <f t="shared" si="133"/>
        <v>1</v>
      </c>
      <c r="R84" s="37">
        <f t="shared" si="133"/>
        <v>1</v>
      </c>
      <c r="S84" s="37">
        <f t="shared" si="133"/>
        <v>1</v>
      </c>
      <c r="T84" s="37">
        <f t="shared" si="133"/>
        <v>1</v>
      </c>
      <c r="U84" s="37">
        <f t="shared" si="133"/>
        <v>1</v>
      </c>
      <c r="V84" s="37">
        <f t="shared" si="133"/>
        <v>1</v>
      </c>
      <c r="W84" s="37">
        <f t="shared" si="133"/>
        <v>1</v>
      </c>
      <c r="X84" s="37">
        <f t="shared" si="133"/>
        <v>1</v>
      </c>
    </row>
    <row r="85" spans="1:24" x14ac:dyDescent="0.3">
      <c r="A85" t="s">
        <v>60</v>
      </c>
      <c r="B85" s="33">
        <v>1600</v>
      </c>
      <c r="C85" t="str">
        <f>+Currency</f>
        <v>Rub '000'</v>
      </c>
      <c r="E85" s="36">
        <f>+$B85*E$71*Macro!E$18</f>
        <v>0</v>
      </c>
      <c r="F85" s="36">
        <f>+$B85*F$71*Macro!F$18</f>
        <v>0</v>
      </c>
      <c r="G85" s="36">
        <f>+$B85*G$71*Macro!G$18</f>
        <v>1631.6862443496909</v>
      </c>
      <c r="H85" s="36">
        <f>+$B85*H$71*Macro!H$18</f>
        <v>1647.7639122756284</v>
      </c>
      <c r="I85" s="36">
        <f>+$B85*I$71*Macro!I$18</f>
        <v>1663.9999999999993</v>
      </c>
      <c r="J85" s="36">
        <f>+$B85*J$71*Macro!J$18</f>
        <v>1680.3960684974836</v>
      </c>
      <c r="K85" s="36">
        <f>+$B85*K$71*Macro!K$18</f>
        <v>1696.9536941236784</v>
      </c>
      <c r="L85" s="36">
        <f>+$B85*L$71*Macro!L$18</f>
        <v>1713.6744687666533</v>
      </c>
      <c r="M85" s="36">
        <f>+$B85*M$71*Macro!M$18</f>
        <v>1730.559999999999</v>
      </c>
      <c r="N85" s="36">
        <f>+$B85*N$71*Macro!N$18</f>
        <v>1747.6119112373826</v>
      </c>
      <c r="O85" s="36">
        <f>+$B85*O$71*Macro!O$18</f>
        <v>1764.8318418886251</v>
      </c>
      <c r="P85" s="36">
        <f>+$B85*P$71*Macro!P$18</f>
        <v>1782.2214475173193</v>
      </c>
      <c r="Q85" s="36">
        <f>+$B85*Q$71*Macro!Q$18</f>
        <v>1799.7823999999991</v>
      </c>
      <c r="R85" s="36">
        <f>+$B85*R$71*Macro!R$18</f>
        <v>1817.516387686878</v>
      </c>
      <c r="S85" s="36">
        <f>+$B85*S$71*Macro!S$18</f>
        <v>1835.4251155641703</v>
      </c>
      <c r="T85" s="36">
        <f>+$B85*T$71*Macro!T$18</f>
        <v>1853.510305418012</v>
      </c>
      <c r="U85" s="36">
        <f>+$B85*U$71*Macro!U$18</f>
        <v>1871.7736959999988</v>
      </c>
      <c r="V85" s="36">
        <f>+$B85*V$71*Macro!V$18</f>
        <v>1890.2170431943528</v>
      </c>
      <c r="W85" s="36">
        <f>+$B85*W$71*Macro!W$18</f>
        <v>1908.8421201867366</v>
      </c>
      <c r="X85" s="36">
        <f>+$B85*X$71*Macro!X$18</f>
        <v>1927.650717634732</v>
      </c>
    </row>
    <row r="86" spans="1:24" x14ac:dyDescent="0.3">
      <c r="A86" t="s">
        <v>62</v>
      </c>
      <c r="B86" s="33">
        <v>2000</v>
      </c>
      <c r="C86" t="str">
        <f>+Currency</f>
        <v>Rub '000'</v>
      </c>
      <c r="E86" s="36">
        <f>+$B86*E$71*Macro!E$18</f>
        <v>0</v>
      </c>
      <c r="F86" s="36">
        <f>+$B86*F$71*Macro!F$18</f>
        <v>0</v>
      </c>
      <c r="G86" s="36">
        <f>+$B86*G$71*Macro!G$18</f>
        <v>2039.6078054371137</v>
      </c>
      <c r="H86" s="36">
        <f>+$B86*H$71*Macro!H$18</f>
        <v>2059.7048903445352</v>
      </c>
      <c r="I86" s="36">
        <f>+$B86*I$71*Macro!I$18</f>
        <v>2079.9999999999991</v>
      </c>
      <c r="J86" s="36">
        <f>+$B86*J$71*Macro!J$18</f>
        <v>2100.4950856218543</v>
      </c>
      <c r="K86" s="36">
        <f>+$B86*K$71*Macro!K$18</f>
        <v>2121.192117654598</v>
      </c>
      <c r="L86" s="36">
        <f>+$B86*L$71*Macro!L$18</f>
        <v>2142.0930859583164</v>
      </c>
      <c r="M86" s="36">
        <f>+$B86*M$71*Macro!M$18</f>
        <v>2163.1999999999989</v>
      </c>
      <c r="N86" s="36">
        <f>+$B86*N$71*Macro!N$18</f>
        <v>2184.5148890467285</v>
      </c>
      <c r="O86" s="36">
        <f>+$B86*O$71*Macro!O$18</f>
        <v>2206.0398023607813</v>
      </c>
      <c r="P86" s="36">
        <f>+$B86*P$71*Macro!P$18</f>
        <v>2227.7768093966492</v>
      </c>
      <c r="Q86" s="36">
        <f>+$B86*Q$71*Macro!Q$18</f>
        <v>2249.7279999999987</v>
      </c>
      <c r="R86" s="36">
        <f>+$B86*R$71*Macro!R$18</f>
        <v>2271.8954846085976</v>
      </c>
      <c r="S86" s="36">
        <f>+$B86*S$71*Macro!S$18</f>
        <v>2294.2813944552126</v>
      </c>
      <c r="T86" s="36">
        <f>+$B86*T$71*Macro!T$18</f>
        <v>2316.8878817725149</v>
      </c>
      <c r="U86" s="36">
        <f>+$B86*U$71*Macro!U$18</f>
        <v>2339.7171199999984</v>
      </c>
      <c r="V86" s="36">
        <f>+$B86*V$71*Macro!V$18</f>
        <v>2362.7713039929408</v>
      </c>
      <c r="W86" s="36">
        <f>+$B86*W$71*Macro!W$18</f>
        <v>2386.0526502334205</v>
      </c>
      <c r="X86" s="36">
        <f>+$B86*X$71*Macro!X$18</f>
        <v>2409.5633970434151</v>
      </c>
    </row>
    <row r="87" spans="1:24" x14ac:dyDescent="0.3">
      <c r="A87" t="s">
        <v>61</v>
      </c>
      <c r="B87" s="33">
        <v>5000</v>
      </c>
      <c r="C87" t="str">
        <f>+Currency</f>
        <v>Rub '000'</v>
      </c>
      <c r="E87" s="36">
        <f>+$B87*E$71*Macro!E$18</f>
        <v>0</v>
      </c>
      <c r="F87" s="36">
        <f>+$B87*F$71*Macro!F$18</f>
        <v>0</v>
      </c>
      <c r="G87" s="36">
        <f>+$B87*G$71*Macro!G$18</f>
        <v>5099.0195135927843</v>
      </c>
      <c r="H87" s="36">
        <f>+$B87*H$71*Macro!H$18</f>
        <v>5149.2622258613383</v>
      </c>
      <c r="I87" s="36">
        <f>+$B87*I$71*Macro!I$18</f>
        <v>5199.9999999999982</v>
      </c>
      <c r="J87" s="36">
        <f>+$B87*J$71*Macro!J$18</f>
        <v>5251.2377140546359</v>
      </c>
      <c r="K87" s="36">
        <f>+$B87*K$71*Macro!K$18</f>
        <v>5302.9802941364942</v>
      </c>
      <c r="L87" s="36">
        <f>+$B87*L$71*Macro!L$18</f>
        <v>5355.2327148957911</v>
      </c>
      <c r="M87" s="36">
        <f>+$B87*M$71*Macro!M$18</f>
        <v>5407.9999999999973</v>
      </c>
      <c r="N87" s="36">
        <f>+$B87*N$71*Macro!N$18</f>
        <v>5461.2872226168211</v>
      </c>
      <c r="O87" s="36">
        <f>+$B87*O$71*Macro!O$18</f>
        <v>5515.0995059019533</v>
      </c>
      <c r="P87" s="36">
        <f>+$B87*P$71*Macro!P$18</f>
        <v>5569.4420234916233</v>
      </c>
      <c r="Q87" s="36">
        <f>+$B87*Q$71*Macro!Q$18</f>
        <v>5624.319999999997</v>
      </c>
      <c r="R87" s="36">
        <f>+$B87*R$71*Macro!R$18</f>
        <v>5679.7387115214933</v>
      </c>
      <c r="S87" s="36">
        <f>+$B87*S$71*Macro!S$18</f>
        <v>5735.7034861380316</v>
      </c>
      <c r="T87" s="36">
        <f>+$B87*T$71*Macro!T$18</f>
        <v>5792.219704431287</v>
      </c>
      <c r="U87" s="36">
        <f>+$B87*U$71*Macro!U$18</f>
        <v>5849.2927999999965</v>
      </c>
      <c r="V87" s="36">
        <f>+$B87*V$71*Macro!V$18</f>
        <v>5906.9282599823528</v>
      </c>
      <c r="W87" s="36">
        <f>+$B87*W$71*Macro!W$18</f>
        <v>5965.1316255835518</v>
      </c>
      <c r="X87" s="36">
        <f>+$B87*X$71*Macro!X$18</f>
        <v>6023.908492608537</v>
      </c>
    </row>
    <row r="89" spans="1:24" x14ac:dyDescent="0.3">
      <c r="A89" s="16" t="s">
        <v>63</v>
      </c>
    </row>
    <row r="90" spans="1:24" x14ac:dyDescent="0.3">
      <c r="A90" s="21" t="s">
        <v>48</v>
      </c>
      <c r="C90" t="str">
        <f>+Currency</f>
        <v>Rub '000'</v>
      </c>
      <c r="E90" s="38">
        <f t="shared" ref="E90:X90" si="134">+E70</f>
        <v>0</v>
      </c>
      <c r="F90" s="38">
        <f t="shared" si="134"/>
        <v>0</v>
      </c>
      <c r="G90" s="38">
        <f t="shared" si="134"/>
        <v>47165.930500733251</v>
      </c>
      <c r="H90" s="38">
        <f t="shared" si="134"/>
        <v>47630.675589217382</v>
      </c>
      <c r="I90" s="38">
        <f t="shared" si="134"/>
        <v>48099.999999999985</v>
      </c>
      <c r="J90" s="38">
        <f t="shared" si="134"/>
        <v>48573.948855005387</v>
      </c>
      <c r="K90" s="38">
        <f t="shared" si="134"/>
        <v>49052.567720762578</v>
      </c>
      <c r="L90" s="38">
        <f t="shared" si="134"/>
        <v>49535.902612786071</v>
      </c>
      <c r="M90" s="38">
        <f t="shared" si="134"/>
        <v>50023.999999999978</v>
      </c>
      <c r="N90" s="38">
        <f t="shared" si="134"/>
        <v>50516.90680920559</v>
      </c>
      <c r="O90" s="38">
        <f t="shared" si="134"/>
        <v>51014.670429593069</v>
      </c>
      <c r="P90" s="38">
        <f t="shared" si="134"/>
        <v>51517.338717297513</v>
      </c>
      <c r="Q90" s="38">
        <f t="shared" si="134"/>
        <v>52024.959999999977</v>
      </c>
      <c r="R90" s="38">
        <f t="shared" si="134"/>
        <v>52537.583081573815</v>
      </c>
      <c r="S90" s="38">
        <f t="shared" si="134"/>
        <v>53055.257246776797</v>
      </c>
      <c r="T90" s="38">
        <f t="shared" si="134"/>
        <v>53578.032265989408</v>
      </c>
      <c r="U90" s="38">
        <f t="shared" si="134"/>
        <v>54105.95839999996</v>
      </c>
      <c r="V90" s="38">
        <f t="shared" si="134"/>
        <v>54639.086404836751</v>
      </c>
      <c r="W90" s="38">
        <f t="shared" si="134"/>
        <v>55177.467536647848</v>
      </c>
      <c r="X90" s="38">
        <f t="shared" si="134"/>
        <v>55721.153556628968</v>
      </c>
    </row>
    <row r="91" spans="1:24" x14ac:dyDescent="0.3">
      <c r="A91" s="21" t="s">
        <v>55</v>
      </c>
      <c r="C91" t="str">
        <f>+Currency</f>
        <v>Rub '000'</v>
      </c>
      <c r="E91" s="38">
        <f t="shared" ref="E91:X91" si="135">+E78</f>
        <v>0</v>
      </c>
      <c r="F91" s="38">
        <f t="shared" si="135"/>
        <v>0</v>
      </c>
      <c r="G91" s="38">
        <f t="shared" si="135"/>
        <v>27738.666153944745</v>
      </c>
      <c r="H91" s="38">
        <f t="shared" si="135"/>
        <v>28011.986508685684</v>
      </c>
      <c r="I91" s="38">
        <f t="shared" si="135"/>
        <v>28287.999999999989</v>
      </c>
      <c r="J91" s="38">
        <f t="shared" si="135"/>
        <v>28566.733164457222</v>
      </c>
      <c r="K91" s="38">
        <f t="shared" si="135"/>
        <v>28848.212800102534</v>
      </c>
      <c r="L91" s="38">
        <f t="shared" si="135"/>
        <v>29132.465969033106</v>
      </c>
      <c r="M91" s="38">
        <f t="shared" si="135"/>
        <v>29419.519999999982</v>
      </c>
      <c r="N91" s="38">
        <f t="shared" si="135"/>
        <v>29709.402491035504</v>
      </c>
      <c r="O91" s="38">
        <f t="shared" si="135"/>
        <v>30002.141312106629</v>
      </c>
      <c r="P91" s="38">
        <f t="shared" si="135"/>
        <v>30297.76460779443</v>
      </c>
      <c r="Q91" s="38">
        <f t="shared" si="135"/>
        <v>30596.300799999986</v>
      </c>
      <c r="R91" s="38">
        <f t="shared" si="135"/>
        <v>30897.778590676928</v>
      </c>
      <c r="S91" s="38">
        <f t="shared" si="135"/>
        <v>31202.226964590893</v>
      </c>
      <c r="T91" s="38">
        <f t="shared" si="135"/>
        <v>31509.675192106202</v>
      </c>
      <c r="U91" s="38">
        <f t="shared" si="135"/>
        <v>31820.152831999982</v>
      </c>
      <c r="V91" s="38">
        <f t="shared" si="135"/>
        <v>32133.689734303996</v>
      </c>
      <c r="W91" s="38">
        <f t="shared" si="135"/>
        <v>32450.31604317452</v>
      </c>
      <c r="X91" s="38">
        <f t="shared" si="135"/>
        <v>32770.062199790445</v>
      </c>
    </row>
    <row r="92" spans="1:24" x14ac:dyDescent="0.3">
      <c r="A92" s="21" t="s">
        <v>59</v>
      </c>
      <c r="C92" t="str">
        <f>+Currency</f>
        <v>Rub '000'</v>
      </c>
      <c r="E92" s="38">
        <f t="shared" ref="E92:X92" si="136">+E83</f>
        <v>0</v>
      </c>
      <c r="F92" s="38">
        <f t="shared" si="136"/>
        <v>0</v>
      </c>
      <c r="G92" s="38">
        <f t="shared" si="136"/>
        <v>8770.3135633795901</v>
      </c>
      <c r="H92" s="38">
        <f t="shared" si="136"/>
        <v>8856.731028481503</v>
      </c>
      <c r="I92" s="38">
        <f t="shared" si="136"/>
        <v>8943.9999999999964</v>
      </c>
      <c r="J92" s="38">
        <f t="shared" si="136"/>
        <v>9032.1288681739734</v>
      </c>
      <c r="K92" s="38">
        <f t="shared" si="136"/>
        <v>9121.126105914771</v>
      </c>
      <c r="L92" s="38">
        <f t="shared" si="136"/>
        <v>9211.0002696207612</v>
      </c>
      <c r="M92" s="38">
        <f t="shared" si="136"/>
        <v>9301.7599999999948</v>
      </c>
      <c r="N92" s="38">
        <f t="shared" si="136"/>
        <v>9393.4140229009317</v>
      </c>
      <c r="O92" s="38">
        <f t="shared" si="136"/>
        <v>9485.9711501513593</v>
      </c>
      <c r="P92" s="38">
        <f t="shared" si="136"/>
        <v>9579.4402804055917</v>
      </c>
      <c r="Q92" s="38">
        <f t="shared" si="136"/>
        <v>9673.8303999999953</v>
      </c>
      <c r="R92" s="38">
        <f t="shared" si="136"/>
        <v>9769.1505838169687</v>
      </c>
      <c r="S92" s="38">
        <f t="shared" si="136"/>
        <v>9865.4099961574138</v>
      </c>
      <c r="T92" s="38">
        <f t="shared" si="136"/>
        <v>9962.6178916218141</v>
      </c>
      <c r="U92" s="38">
        <f t="shared" si="136"/>
        <v>10060.783615999993</v>
      </c>
      <c r="V92" s="38">
        <f t="shared" si="136"/>
        <v>10159.916607169645</v>
      </c>
      <c r="W92" s="38">
        <f t="shared" si="136"/>
        <v>10260.026396003708</v>
      </c>
      <c r="X92" s="38">
        <f t="shared" si="136"/>
        <v>10361.122607286685</v>
      </c>
    </row>
    <row r="93" spans="1:24" x14ac:dyDescent="0.3">
      <c r="A93" s="16" t="s">
        <v>64</v>
      </c>
      <c r="C93" s="16" t="str">
        <f>+Currency</f>
        <v>Rub '000'</v>
      </c>
      <c r="E93" s="35">
        <f t="shared" ref="E93:X93" si="137">SUM(E90:E92)</f>
        <v>0</v>
      </c>
      <c r="F93" s="35">
        <f t="shared" si="137"/>
        <v>0</v>
      </c>
      <c r="G93" s="35">
        <f t="shared" si="137"/>
        <v>83674.910218057586</v>
      </c>
      <c r="H93" s="35">
        <f t="shared" si="137"/>
        <v>84499.393126384573</v>
      </c>
      <c r="I93" s="35">
        <f t="shared" si="137"/>
        <v>85331.999999999971</v>
      </c>
      <c r="J93" s="35">
        <f t="shared" si="137"/>
        <v>86172.810887636573</v>
      </c>
      <c r="K93" s="35">
        <f t="shared" si="137"/>
        <v>87021.906626779877</v>
      </c>
      <c r="L93" s="35">
        <f t="shared" si="137"/>
        <v>87879.36885143994</v>
      </c>
      <c r="M93" s="35">
        <f t="shared" si="137"/>
        <v>88745.279999999955</v>
      </c>
      <c r="N93" s="35">
        <f t="shared" si="137"/>
        <v>89619.723323142025</v>
      </c>
      <c r="O93" s="35">
        <f t="shared" si="137"/>
        <v>90502.782891851064</v>
      </c>
      <c r="P93" s="35">
        <f t="shared" si="137"/>
        <v>91394.543605497529</v>
      </c>
      <c r="Q93" s="35">
        <f t="shared" si="137"/>
        <v>92295.091199999952</v>
      </c>
      <c r="R93" s="35">
        <f t="shared" si="137"/>
        <v>93204.512256067712</v>
      </c>
      <c r="S93" s="35">
        <f t="shared" si="137"/>
        <v>94122.894207525096</v>
      </c>
      <c r="T93" s="35">
        <f t="shared" si="137"/>
        <v>95050.32534971743</v>
      </c>
      <c r="U93" s="35">
        <f t="shared" si="137"/>
        <v>95986.894847999938</v>
      </c>
      <c r="V93" s="35">
        <f t="shared" si="137"/>
        <v>96932.692746310378</v>
      </c>
      <c r="W93" s="35">
        <f t="shared" si="137"/>
        <v>97887.80997582608</v>
      </c>
      <c r="X93" s="35">
        <f t="shared" si="137"/>
        <v>98852.338363706091</v>
      </c>
    </row>
    <row r="96" spans="1:24" ht="15" thickBot="1" x14ac:dyDescent="0.35">
      <c r="A96" s="6" t="s">
        <v>65</v>
      </c>
      <c r="B96" s="6"/>
      <c r="C96" s="6"/>
      <c r="D96" s="6"/>
      <c r="E96" s="7" t="str">
        <f t="shared" ref="E96:X96" si="138">+E$2</f>
        <v>1Q 2024</v>
      </c>
      <c r="F96" s="7" t="str">
        <f t="shared" si="138"/>
        <v>2Q 2024</v>
      </c>
      <c r="G96" s="7" t="str">
        <f t="shared" si="138"/>
        <v>3Q 2024</v>
      </c>
      <c r="H96" s="7" t="str">
        <f t="shared" si="138"/>
        <v>4Q 2024</v>
      </c>
      <c r="I96" s="7" t="str">
        <f t="shared" si="138"/>
        <v>1Q 2025</v>
      </c>
      <c r="J96" s="7" t="str">
        <f t="shared" si="138"/>
        <v>2Q 2025</v>
      </c>
      <c r="K96" s="7" t="str">
        <f t="shared" si="138"/>
        <v>3Q 2025</v>
      </c>
      <c r="L96" s="7" t="str">
        <f t="shared" si="138"/>
        <v>4Q 2025</v>
      </c>
      <c r="M96" s="7" t="str">
        <f t="shared" si="138"/>
        <v>1Q 2026</v>
      </c>
      <c r="N96" s="7" t="str">
        <f t="shared" si="138"/>
        <v>2Q 2026</v>
      </c>
      <c r="O96" s="7" t="str">
        <f t="shared" si="138"/>
        <v>3Q 2026</v>
      </c>
      <c r="P96" s="7" t="str">
        <f t="shared" si="138"/>
        <v>4Q 2026</v>
      </c>
      <c r="Q96" s="7" t="str">
        <f t="shared" si="138"/>
        <v>1Q 2027</v>
      </c>
      <c r="R96" s="7" t="str">
        <f t="shared" si="138"/>
        <v>2Q 2027</v>
      </c>
      <c r="S96" s="7" t="str">
        <f t="shared" si="138"/>
        <v>3Q 2027</v>
      </c>
      <c r="T96" s="7" t="str">
        <f t="shared" si="138"/>
        <v>4Q 2027</v>
      </c>
      <c r="U96" s="7" t="str">
        <f t="shared" si="138"/>
        <v>1Q 2028</v>
      </c>
      <c r="V96" s="7" t="str">
        <f t="shared" si="138"/>
        <v>2Q 2028</v>
      </c>
      <c r="W96" s="7" t="str">
        <f t="shared" si="138"/>
        <v>3Q 2028</v>
      </c>
      <c r="X96" s="7" t="str">
        <f t="shared" si="138"/>
        <v>4Q 2028</v>
      </c>
    </row>
    <row r="97" spans="1:24" ht="15" thickTop="1" x14ac:dyDescent="0.3"/>
    <row r="98" spans="1:24" x14ac:dyDescent="0.3">
      <c r="A98" t="s">
        <v>66</v>
      </c>
    </row>
    <row r="100" spans="1:24" x14ac:dyDescent="0.3">
      <c r="A100" s="39" t="s">
        <v>67</v>
      </c>
      <c r="B100">
        <v>22</v>
      </c>
      <c r="C100" t="s">
        <v>68</v>
      </c>
      <c r="E100" s="1">
        <f t="shared" ref="E100:X100" si="139">+$B100*E$6</f>
        <v>0</v>
      </c>
      <c r="F100" s="1">
        <f t="shared" si="139"/>
        <v>0</v>
      </c>
      <c r="G100" s="1">
        <f t="shared" si="139"/>
        <v>22</v>
      </c>
      <c r="H100" s="1">
        <f t="shared" si="139"/>
        <v>22</v>
      </c>
      <c r="I100" s="1">
        <f t="shared" si="139"/>
        <v>22</v>
      </c>
      <c r="J100" s="1">
        <f t="shared" si="139"/>
        <v>22</v>
      </c>
      <c r="K100" s="1">
        <f t="shared" si="139"/>
        <v>22</v>
      </c>
      <c r="L100" s="1">
        <f t="shared" si="139"/>
        <v>22</v>
      </c>
      <c r="M100" s="1">
        <f t="shared" si="139"/>
        <v>22</v>
      </c>
      <c r="N100" s="1">
        <f t="shared" si="139"/>
        <v>22</v>
      </c>
      <c r="O100" s="1">
        <f t="shared" si="139"/>
        <v>22</v>
      </c>
      <c r="P100" s="1">
        <f t="shared" si="139"/>
        <v>22</v>
      </c>
      <c r="Q100" s="1">
        <f t="shared" si="139"/>
        <v>22</v>
      </c>
      <c r="R100" s="1">
        <f t="shared" si="139"/>
        <v>22</v>
      </c>
      <c r="S100" s="1">
        <f t="shared" si="139"/>
        <v>22</v>
      </c>
      <c r="T100" s="1">
        <f t="shared" si="139"/>
        <v>22</v>
      </c>
      <c r="U100" s="1">
        <f t="shared" si="139"/>
        <v>22</v>
      </c>
      <c r="V100" s="1">
        <f t="shared" si="139"/>
        <v>22</v>
      </c>
      <c r="W100" s="1">
        <f t="shared" si="139"/>
        <v>22</v>
      </c>
      <c r="X100" s="1">
        <f t="shared" si="139"/>
        <v>22</v>
      </c>
    </row>
    <row r="101" spans="1:24" x14ac:dyDescent="0.3">
      <c r="A101" t="s">
        <v>69</v>
      </c>
      <c r="B101" s="25">
        <v>55</v>
      </c>
      <c r="C101" t="str">
        <f>+Currency</f>
        <v>Rub '000'</v>
      </c>
      <c r="D101" t="s">
        <v>70</v>
      </c>
      <c r="E101" s="38">
        <f>+$B101*Macro!E$5*Macro!E$18*Assumptions!E100</f>
        <v>0</v>
      </c>
      <c r="F101" s="38">
        <f>+$B101*Macro!F$5*Macro!F$18*Assumptions!F100</f>
        <v>0</v>
      </c>
      <c r="G101" s="38">
        <f>+$B101*Macro!G$5*Macro!G$18*Assumptions!G100</f>
        <v>3701.8881668683612</v>
      </c>
      <c r="H101" s="38">
        <f>+$B101*Macro!H$5*Macro!H$18*Assumptions!H100</f>
        <v>3738.3643759753313</v>
      </c>
      <c r="I101" s="38">
        <f>+$B101*Macro!I$5*Macro!I$18*Assumptions!I100</f>
        <v>3775.1999999999985</v>
      </c>
      <c r="J101" s="38">
        <f>+$B101*Macro!J$5*Macro!J$18*Assumptions!J100</f>
        <v>3812.3985804036661</v>
      </c>
      <c r="K101" s="38">
        <f>+$B101*Macro!K$5*Macro!K$18*Assumptions!K100</f>
        <v>3849.9636935430949</v>
      </c>
      <c r="L101" s="38">
        <f>+$B101*Macro!L$5*Macro!L$18*Assumptions!L100</f>
        <v>3887.8989510143442</v>
      </c>
      <c r="M101" s="38">
        <f>+$B101*Macro!M$5*Macro!M$18*Assumptions!M100</f>
        <v>3926.2079999999983</v>
      </c>
      <c r="N101" s="38">
        <f>+$B101*Macro!N$5*Macro!N$18*Assumptions!N100</f>
        <v>3964.8945236198115</v>
      </c>
      <c r="O101" s="38">
        <f>+$B101*Macro!O$5*Macro!O$18*Assumptions!O100</f>
        <v>4003.9622412848184</v>
      </c>
      <c r="P101" s="38">
        <f>+$B101*Macro!P$5*Macro!P$18*Assumptions!P100</f>
        <v>4043.4149090549181</v>
      </c>
      <c r="Q101" s="38">
        <f>+$B101*Macro!Q$5*Macro!Q$18*Assumptions!Q100</f>
        <v>4083.2563199999977</v>
      </c>
      <c r="R101" s="38">
        <f>+$B101*Macro!R$5*Macro!R$18*Assumptions!R100</f>
        <v>4123.4903045646042</v>
      </c>
      <c r="S101" s="38">
        <f>+$B101*Macro!S$5*Macro!S$18*Assumptions!S100</f>
        <v>4164.1207309362107</v>
      </c>
      <c r="T101" s="38">
        <f>+$B101*Macro!T$5*Macro!T$18*Assumptions!T100</f>
        <v>4205.1515054171141</v>
      </c>
      <c r="U101" s="38">
        <f>+$B101*Macro!U$5*Macro!U$18*Assumptions!U100</f>
        <v>4246.5865727999972</v>
      </c>
      <c r="V101" s="38">
        <f>+$B101*Macro!V$5*Macro!V$18*Assumptions!V100</f>
        <v>4288.4299167471881</v>
      </c>
      <c r="W101" s="38">
        <f>+$B101*Macro!W$5*Macro!W$18*Assumptions!W100</f>
        <v>4330.6855601736588</v>
      </c>
      <c r="X101" s="38">
        <f>+$B101*Macro!X$5*Macro!X$18*Assumptions!X100</f>
        <v>4373.357565633798</v>
      </c>
    </row>
    <row r="102" spans="1:24" x14ac:dyDescent="0.3">
      <c r="A102" s="39" t="s">
        <v>71</v>
      </c>
      <c r="B102">
        <v>30</v>
      </c>
      <c r="C102" t="s">
        <v>68</v>
      </c>
      <c r="E102" s="1">
        <f t="shared" ref="E102:X102" si="140">+$B102*E$6</f>
        <v>0</v>
      </c>
      <c r="F102" s="1">
        <f t="shared" si="140"/>
        <v>0</v>
      </c>
      <c r="G102" s="1">
        <f t="shared" si="140"/>
        <v>30</v>
      </c>
      <c r="H102" s="1">
        <f t="shared" si="140"/>
        <v>30</v>
      </c>
      <c r="I102" s="1">
        <f t="shared" si="140"/>
        <v>30</v>
      </c>
      <c r="J102" s="1">
        <f t="shared" si="140"/>
        <v>30</v>
      </c>
      <c r="K102" s="1">
        <f t="shared" si="140"/>
        <v>30</v>
      </c>
      <c r="L102" s="1">
        <f t="shared" si="140"/>
        <v>30</v>
      </c>
      <c r="M102" s="1">
        <f t="shared" si="140"/>
        <v>30</v>
      </c>
      <c r="N102" s="1">
        <f t="shared" si="140"/>
        <v>30</v>
      </c>
      <c r="O102" s="1">
        <f t="shared" si="140"/>
        <v>30</v>
      </c>
      <c r="P102" s="1">
        <f t="shared" si="140"/>
        <v>30</v>
      </c>
      <c r="Q102" s="1">
        <f t="shared" si="140"/>
        <v>30</v>
      </c>
      <c r="R102" s="1">
        <f t="shared" si="140"/>
        <v>30</v>
      </c>
      <c r="S102" s="1">
        <f t="shared" si="140"/>
        <v>30</v>
      </c>
      <c r="T102" s="1">
        <f t="shared" si="140"/>
        <v>30</v>
      </c>
      <c r="U102" s="1">
        <f t="shared" si="140"/>
        <v>30</v>
      </c>
      <c r="V102" s="1">
        <f t="shared" si="140"/>
        <v>30</v>
      </c>
      <c r="W102" s="1">
        <f t="shared" si="140"/>
        <v>30</v>
      </c>
      <c r="X102" s="1">
        <f t="shared" si="140"/>
        <v>30</v>
      </c>
    </row>
    <row r="103" spans="1:24" x14ac:dyDescent="0.3">
      <c r="A103" t="s">
        <v>69</v>
      </c>
      <c r="B103" s="25">
        <v>55</v>
      </c>
      <c r="C103" t="str">
        <f>+Currency</f>
        <v>Rub '000'</v>
      </c>
      <c r="D103" t="s">
        <v>70</v>
      </c>
      <c r="E103" s="38">
        <f>+$B103*Macro!E$5*Macro!E$18*Assumptions!E102</f>
        <v>0</v>
      </c>
      <c r="F103" s="38">
        <f>+$B103*Macro!F$5*Macro!F$18*Assumptions!F102</f>
        <v>0</v>
      </c>
      <c r="G103" s="38">
        <f>+$B103*Macro!G$5*Macro!G$18*Assumptions!G102</f>
        <v>5048.0293184568563</v>
      </c>
      <c r="H103" s="38">
        <f>+$B103*Macro!H$5*Macro!H$18*Assumptions!H102</f>
        <v>5097.7696036027246</v>
      </c>
      <c r="I103" s="38">
        <f>+$B103*Macro!I$5*Macro!I$18*Assumptions!I102</f>
        <v>5147.9999999999982</v>
      </c>
      <c r="J103" s="38">
        <f>+$B103*Macro!J$5*Macro!J$18*Assumptions!J102</f>
        <v>5198.7253369140899</v>
      </c>
      <c r="K103" s="38">
        <f>+$B103*Macro!K$5*Macro!K$18*Assumptions!K102</f>
        <v>5249.9504911951299</v>
      </c>
      <c r="L103" s="38">
        <f>+$B103*Macro!L$5*Macro!L$18*Assumptions!L102</f>
        <v>5301.6803877468328</v>
      </c>
      <c r="M103" s="38">
        <f>+$B103*Macro!M$5*Macro!M$18*Assumptions!M102</f>
        <v>5353.9199999999973</v>
      </c>
      <c r="N103" s="38">
        <f>+$B103*Macro!N$5*Macro!N$18*Assumptions!N102</f>
        <v>5406.6743503906519</v>
      </c>
      <c r="O103" s="38">
        <f>+$B103*Macro!O$5*Macro!O$18*Assumptions!O102</f>
        <v>5459.9485108429344</v>
      </c>
      <c r="P103" s="38">
        <f>+$B103*Macro!P$5*Macro!P$18*Assumptions!P102</f>
        <v>5513.7476032567065</v>
      </c>
      <c r="Q103" s="38">
        <f>+$B103*Macro!Q$5*Macro!Q$18*Assumptions!Q102</f>
        <v>5568.0767999999971</v>
      </c>
      <c r="R103" s="38">
        <f>+$B103*Macro!R$5*Macro!R$18*Assumptions!R102</f>
        <v>5622.941324406278</v>
      </c>
      <c r="S103" s="38">
        <f>+$B103*Macro!S$5*Macro!S$18*Assumptions!S102</f>
        <v>5678.3464512766514</v>
      </c>
      <c r="T103" s="38">
        <f>+$B103*Macro!T$5*Macro!T$18*Assumptions!T102</f>
        <v>5734.2975073869738</v>
      </c>
      <c r="U103" s="38">
        <f>+$B103*Macro!U$5*Macro!U$18*Assumptions!U102</f>
        <v>5790.799871999996</v>
      </c>
      <c r="V103" s="38">
        <f>+$B103*Macro!V$5*Macro!V$18*Assumptions!V102</f>
        <v>5847.8589773825288</v>
      </c>
      <c r="W103" s="38">
        <f>+$B103*Macro!W$5*Macro!W$18*Assumptions!W102</f>
        <v>5905.480309327716</v>
      </c>
      <c r="X103" s="38">
        <f>+$B103*Macro!X$5*Macro!X$18*Assumptions!X102</f>
        <v>5963.6694076824524</v>
      </c>
    </row>
    <row r="104" spans="1:24" x14ac:dyDescent="0.3">
      <c r="A104" s="39" t="s">
        <v>72</v>
      </c>
      <c r="B104">
        <v>12</v>
      </c>
      <c r="C104" t="s">
        <v>68</v>
      </c>
      <c r="E104" s="1">
        <f t="shared" ref="E104:X104" si="141">+$B104*E$6</f>
        <v>0</v>
      </c>
      <c r="F104" s="1">
        <f t="shared" si="141"/>
        <v>0</v>
      </c>
      <c r="G104" s="1">
        <f t="shared" si="141"/>
        <v>12</v>
      </c>
      <c r="H104" s="1">
        <f t="shared" si="141"/>
        <v>12</v>
      </c>
      <c r="I104" s="1">
        <f t="shared" si="141"/>
        <v>12</v>
      </c>
      <c r="J104" s="1">
        <f t="shared" si="141"/>
        <v>12</v>
      </c>
      <c r="K104" s="1">
        <f t="shared" si="141"/>
        <v>12</v>
      </c>
      <c r="L104" s="1">
        <f t="shared" si="141"/>
        <v>12</v>
      </c>
      <c r="M104" s="1">
        <f t="shared" si="141"/>
        <v>12</v>
      </c>
      <c r="N104" s="1">
        <f t="shared" si="141"/>
        <v>12</v>
      </c>
      <c r="O104" s="1">
        <f t="shared" si="141"/>
        <v>12</v>
      </c>
      <c r="P104" s="1">
        <f t="shared" si="141"/>
        <v>12</v>
      </c>
      <c r="Q104" s="1">
        <f t="shared" si="141"/>
        <v>12</v>
      </c>
      <c r="R104" s="1">
        <f t="shared" si="141"/>
        <v>12</v>
      </c>
      <c r="S104" s="1">
        <f t="shared" si="141"/>
        <v>12</v>
      </c>
      <c r="T104" s="1">
        <f t="shared" si="141"/>
        <v>12</v>
      </c>
      <c r="U104" s="1">
        <f t="shared" si="141"/>
        <v>12</v>
      </c>
      <c r="V104" s="1">
        <f t="shared" si="141"/>
        <v>12</v>
      </c>
      <c r="W104" s="1">
        <f t="shared" si="141"/>
        <v>12</v>
      </c>
      <c r="X104" s="1">
        <f t="shared" si="141"/>
        <v>12</v>
      </c>
    </row>
    <row r="105" spans="1:24" x14ac:dyDescent="0.3">
      <c r="A105" t="s">
        <v>69</v>
      </c>
      <c r="B105" s="25">
        <v>60</v>
      </c>
      <c r="C105" t="str">
        <f>+Currency</f>
        <v>Rub '000'</v>
      </c>
      <c r="D105" t="s">
        <v>70</v>
      </c>
      <c r="E105" s="38">
        <f>+$B105*Macro!E$5*Macro!E$18*Assumptions!E104</f>
        <v>0</v>
      </c>
      <c r="F105" s="38">
        <f>+$B105*Macro!F$5*Macro!F$18*Assumptions!F104</f>
        <v>0</v>
      </c>
      <c r="G105" s="38">
        <f>+$B105*Macro!G$5*Macro!G$18*Assumptions!G104</f>
        <v>2202.7764298720826</v>
      </c>
      <c r="H105" s="38">
        <f>+$B105*Macro!H$5*Macro!H$18*Assumptions!H104</f>
        <v>2224.4812815720979</v>
      </c>
      <c r="I105" s="38">
        <f>+$B105*Macro!I$5*Macro!I$18*Assumptions!I104</f>
        <v>2246.3999999999992</v>
      </c>
      <c r="J105" s="38">
        <f>+$B105*Macro!J$5*Macro!J$18*Assumptions!J104</f>
        <v>2268.5346924716027</v>
      </c>
      <c r="K105" s="38">
        <f>+$B105*Macro!K$5*Macro!K$18*Assumptions!K104</f>
        <v>2290.8874870669656</v>
      </c>
      <c r="L105" s="38">
        <f>+$B105*Macro!L$5*Macro!L$18*Assumptions!L104</f>
        <v>2313.4605328349817</v>
      </c>
      <c r="M105" s="38">
        <f>+$B105*Macro!M$5*Macro!M$18*Assumptions!M104</f>
        <v>2336.2559999999989</v>
      </c>
      <c r="N105" s="38">
        <f>+$B105*Macro!N$5*Macro!N$18*Assumptions!N104</f>
        <v>2359.2760801704667</v>
      </c>
      <c r="O105" s="38">
        <f>+$B105*Macro!O$5*Macro!O$18*Assumptions!O104</f>
        <v>2382.522986549644</v>
      </c>
      <c r="P105" s="38">
        <f>+$B105*Macro!P$5*Macro!P$18*Assumptions!P104</f>
        <v>2405.998954148381</v>
      </c>
      <c r="Q105" s="38">
        <f>+$B105*Macro!Q$5*Macro!Q$18*Assumptions!Q104</f>
        <v>2429.7062399999986</v>
      </c>
      <c r="R105" s="38">
        <f>+$B105*Macro!R$5*Macro!R$18*Assumptions!R104</f>
        <v>2453.6471233772854</v>
      </c>
      <c r="S105" s="38">
        <f>+$B105*Macro!S$5*Macro!S$18*Assumptions!S104</f>
        <v>2477.8239060116298</v>
      </c>
      <c r="T105" s="38">
        <f>+$B105*Macro!T$5*Macro!T$18*Assumptions!T104</f>
        <v>2502.2389123143162</v>
      </c>
      <c r="U105" s="38">
        <f>+$B105*Macro!U$5*Macro!U$18*Assumptions!U104</f>
        <v>2526.8944895999985</v>
      </c>
      <c r="V105" s="38">
        <f>+$B105*Macro!V$5*Macro!V$18*Assumptions!V104</f>
        <v>2551.7930083123765</v>
      </c>
      <c r="W105" s="38">
        <f>+$B105*Macro!W$5*Macro!W$18*Assumptions!W104</f>
        <v>2576.9368622520942</v>
      </c>
      <c r="X105" s="38">
        <f>+$B105*Macro!X$5*Macro!X$18*Assumptions!X104</f>
        <v>2602.3284688068879</v>
      </c>
    </row>
    <row r="106" spans="1:24" x14ac:dyDescent="0.3">
      <c r="A106" s="39" t="s">
        <v>73</v>
      </c>
      <c r="B106">
        <v>20</v>
      </c>
      <c r="C106" t="s">
        <v>68</v>
      </c>
      <c r="E106" s="1">
        <f t="shared" ref="E106:X106" si="142">+$B106*E$6</f>
        <v>0</v>
      </c>
      <c r="F106" s="1">
        <f t="shared" si="142"/>
        <v>0</v>
      </c>
      <c r="G106" s="1">
        <f t="shared" si="142"/>
        <v>20</v>
      </c>
      <c r="H106" s="1">
        <f t="shared" si="142"/>
        <v>20</v>
      </c>
      <c r="I106" s="1">
        <f t="shared" si="142"/>
        <v>20</v>
      </c>
      <c r="J106" s="1">
        <f t="shared" si="142"/>
        <v>20</v>
      </c>
      <c r="K106" s="1">
        <f t="shared" si="142"/>
        <v>20</v>
      </c>
      <c r="L106" s="1">
        <f t="shared" si="142"/>
        <v>20</v>
      </c>
      <c r="M106" s="1">
        <f t="shared" si="142"/>
        <v>20</v>
      </c>
      <c r="N106" s="1">
        <f t="shared" si="142"/>
        <v>20</v>
      </c>
      <c r="O106" s="1">
        <f t="shared" si="142"/>
        <v>20</v>
      </c>
      <c r="P106" s="1">
        <f t="shared" si="142"/>
        <v>20</v>
      </c>
      <c r="Q106" s="1">
        <f t="shared" si="142"/>
        <v>20</v>
      </c>
      <c r="R106" s="1">
        <f t="shared" si="142"/>
        <v>20</v>
      </c>
      <c r="S106" s="1">
        <f t="shared" si="142"/>
        <v>20</v>
      </c>
      <c r="T106" s="1">
        <f t="shared" si="142"/>
        <v>20</v>
      </c>
      <c r="U106" s="1">
        <f t="shared" si="142"/>
        <v>20</v>
      </c>
      <c r="V106" s="1">
        <f t="shared" si="142"/>
        <v>20</v>
      </c>
      <c r="W106" s="1">
        <f t="shared" si="142"/>
        <v>20</v>
      </c>
      <c r="X106" s="1">
        <f t="shared" si="142"/>
        <v>20</v>
      </c>
    </row>
    <row r="107" spans="1:24" x14ac:dyDescent="0.3">
      <c r="A107" t="s">
        <v>69</v>
      </c>
      <c r="B107" s="25">
        <v>50</v>
      </c>
      <c r="C107" t="str">
        <f>+Currency</f>
        <v>Rub '000'</v>
      </c>
      <c r="D107" t="s">
        <v>70</v>
      </c>
      <c r="E107" s="38">
        <f>+$B107*Macro!E$5*Macro!E$18*Assumptions!E106</f>
        <v>0</v>
      </c>
      <c r="F107" s="38">
        <f>+$B107*Macro!F$5*Macro!F$18*Assumptions!F106</f>
        <v>0</v>
      </c>
      <c r="G107" s="38">
        <f>+$B107*Macro!G$5*Macro!G$18*Assumptions!G106</f>
        <v>3059.4117081556706</v>
      </c>
      <c r="H107" s="38">
        <f>+$B107*Macro!H$5*Macro!H$18*Assumptions!H106</f>
        <v>3089.5573355168035</v>
      </c>
      <c r="I107" s="38">
        <f>+$B107*Macro!I$5*Macro!I$18*Assumptions!I106</f>
        <v>3119.9999999999991</v>
      </c>
      <c r="J107" s="38">
        <f>+$B107*Macro!J$5*Macro!J$18*Assumptions!J106</f>
        <v>3150.7426284327817</v>
      </c>
      <c r="K107" s="38">
        <f>+$B107*Macro!K$5*Macro!K$18*Assumptions!K106</f>
        <v>3181.7881764818967</v>
      </c>
      <c r="L107" s="38">
        <f>+$B107*Macro!L$5*Macro!L$18*Assumptions!L106</f>
        <v>3213.1396289374748</v>
      </c>
      <c r="M107" s="38">
        <f>+$B107*Macro!M$5*Macro!M$18*Assumptions!M106</f>
        <v>3244.7999999999984</v>
      </c>
      <c r="N107" s="38">
        <f>+$B107*Macro!N$5*Macro!N$18*Assumptions!N106</f>
        <v>3276.7723335700925</v>
      </c>
      <c r="O107" s="38">
        <f>+$B107*Macro!O$5*Macro!O$18*Assumptions!O106</f>
        <v>3309.0597035411724</v>
      </c>
      <c r="P107" s="38">
        <f>+$B107*Macro!P$5*Macro!P$18*Assumptions!P106</f>
        <v>3341.6652140949736</v>
      </c>
      <c r="Q107" s="38">
        <f>+$B107*Macro!Q$5*Macro!Q$18*Assumptions!Q106</f>
        <v>3374.5919999999983</v>
      </c>
      <c r="R107" s="38">
        <f>+$B107*Macro!R$5*Macro!R$18*Assumptions!R106</f>
        <v>3407.8432269128962</v>
      </c>
      <c r="S107" s="38">
        <f>+$B107*Macro!S$5*Macro!S$18*Assumptions!S106</f>
        <v>3441.422091682819</v>
      </c>
      <c r="T107" s="38">
        <f>+$B107*Macro!T$5*Macro!T$18*Assumptions!T106</f>
        <v>3475.3318226587726</v>
      </c>
      <c r="U107" s="38">
        <f>+$B107*Macro!U$5*Macro!U$18*Assumptions!U106</f>
        <v>3509.5756799999981</v>
      </c>
      <c r="V107" s="38">
        <f>+$B107*Macro!V$5*Macro!V$18*Assumptions!V106</f>
        <v>3544.1569559894115</v>
      </c>
      <c r="W107" s="38">
        <f>+$B107*Macro!W$5*Macro!W$18*Assumptions!W106</f>
        <v>3579.0789753501308</v>
      </c>
      <c r="X107" s="38">
        <f>+$B107*Macro!X$5*Macro!X$18*Assumptions!X106</f>
        <v>3614.3450955651224</v>
      </c>
    </row>
    <row r="109" spans="1:24" x14ac:dyDescent="0.3">
      <c r="A109" t="s">
        <v>74</v>
      </c>
    </row>
    <row r="111" spans="1:24" x14ac:dyDescent="0.3">
      <c r="A111" s="39" t="s">
        <v>30</v>
      </c>
      <c r="B111">
        <v>30</v>
      </c>
      <c r="C111" t="s">
        <v>68</v>
      </c>
      <c r="E111" s="1">
        <f t="shared" ref="E111:X111" si="143">+$B111*E$6</f>
        <v>0</v>
      </c>
      <c r="F111" s="1">
        <f t="shared" si="143"/>
        <v>0</v>
      </c>
      <c r="G111" s="1">
        <f t="shared" si="143"/>
        <v>30</v>
      </c>
      <c r="H111" s="1">
        <f t="shared" si="143"/>
        <v>30</v>
      </c>
      <c r="I111" s="1">
        <f t="shared" si="143"/>
        <v>30</v>
      </c>
      <c r="J111" s="1">
        <f t="shared" si="143"/>
        <v>30</v>
      </c>
      <c r="K111" s="1">
        <f t="shared" si="143"/>
        <v>30</v>
      </c>
      <c r="L111" s="1">
        <f t="shared" si="143"/>
        <v>30</v>
      </c>
      <c r="M111" s="1">
        <f t="shared" si="143"/>
        <v>30</v>
      </c>
      <c r="N111" s="1">
        <f t="shared" si="143"/>
        <v>30</v>
      </c>
      <c r="O111" s="1">
        <f t="shared" si="143"/>
        <v>30</v>
      </c>
      <c r="P111" s="1">
        <f t="shared" si="143"/>
        <v>30</v>
      </c>
      <c r="Q111" s="1">
        <f t="shared" si="143"/>
        <v>30</v>
      </c>
      <c r="R111" s="1">
        <f t="shared" si="143"/>
        <v>30</v>
      </c>
      <c r="S111" s="1">
        <f t="shared" si="143"/>
        <v>30</v>
      </c>
      <c r="T111" s="1">
        <f t="shared" si="143"/>
        <v>30</v>
      </c>
      <c r="U111" s="1">
        <f t="shared" si="143"/>
        <v>30</v>
      </c>
      <c r="V111" s="1">
        <f t="shared" si="143"/>
        <v>30</v>
      </c>
      <c r="W111" s="1">
        <f t="shared" si="143"/>
        <v>30</v>
      </c>
      <c r="X111" s="1">
        <f t="shared" si="143"/>
        <v>30</v>
      </c>
    </row>
    <row r="112" spans="1:24" x14ac:dyDescent="0.3">
      <c r="A112" s="40" t="s">
        <v>69</v>
      </c>
      <c r="B112" s="25">
        <v>80</v>
      </c>
      <c r="C112" t="str">
        <f>+Currency</f>
        <v>Rub '000'</v>
      </c>
      <c r="D112" t="s">
        <v>76</v>
      </c>
      <c r="E112" s="38">
        <f>+$B112*Macro!E$5*Macro!E$18*Assumptions!E111</f>
        <v>0</v>
      </c>
      <c r="F112" s="38">
        <f>+$B112*Macro!F$5*Macro!F$18*Assumptions!F111</f>
        <v>0</v>
      </c>
      <c r="G112" s="38">
        <f>+$B112*Macro!G$5*Macro!G$18*Assumptions!G111</f>
        <v>7342.5880995736088</v>
      </c>
      <c r="H112" s="38">
        <f>+$B112*Macro!H$5*Macro!H$18*Assumptions!H111</f>
        <v>7414.9376052403277</v>
      </c>
      <c r="I112" s="38">
        <f>+$B112*Macro!I$5*Macro!I$18*Assumptions!I111</f>
        <v>7487.9999999999973</v>
      </c>
      <c r="J112" s="38">
        <f>+$B112*Macro!J$5*Macro!J$18*Assumptions!J111</f>
        <v>7561.7823082386758</v>
      </c>
      <c r="K112" s="38">
        <f>+$B112*Macro!K$5*Macro!K$18*Assumptions!K111</f>
        <v>7636.2916235565517</v>
      </c>
      <c r="L112" s="38">
        <f>+$B112*Macro!L$5*Macro!L$18*Assumptions!L111</f>
        <v>7711.5351094499401</v>
      </c>
      <c r="M112" s="38">
        <f>+$B112*Macro!M$5*Macro!M$18*Assumptions!M111</f>
        <v>7787.5199999999968</v>
      </c>
      <c r="N112" s="38">
        <f>+$B112*Macro!N$5*Macro!N$18*Assumptions!N111</f>
        <v>7864.2536005682214</v>
      </c>
      <c r="O112" s="38">
        <f>+$B112*Macro!O$5*Macro!O$18*Assumptions!O111</f>
        <v>7941.743288498812</v>
      </c>
      <c r="P112" s="38">
        <f>+$B112*Macro!P$5*Macro!P$18*Assumptions!P111</f>
        <v>8019.9965138279367</v>
      </c>
      <c r="Q112" s="38">
        <f>+$B112*Macro!Q$5*Macro!Q$18*Assumptions!Q111</f>
        <v>8099.0207999999966</v>
      </c>
      <c r="R112" s="38">
        <f>+$B112*Macro!R$5*Macro!R$18*Assumptions!R111</f>
        <v>8178.8237445909508</v>
      </c>
      <c r="S112" s="38">
        <f>+$B112*Macro!S$5*Macro!S$18*Assumptions!S111</f>
        <v>8259.4130200387663</v>
      </c>
      <c r="T112" s="38">
        <f>+$B112*Macro!T$5*Macro!T$18*Assumptions!T111</f>
        <v>8340.7963743810542</v>
      </c>
      <c r="U112" s="38">
        <f>+$B112*Macro!U$5*Macro!U$18*Assumptions!U111</f>
        <v>8422.9816319999954</v>
      </c>
      <c r="V112" s="38">
        <f>+$B112*Macro!V$5*Macro!V$18*Assumptions!V111</f>
        <v>8505.9766943745872</v>
      </c>
      <c r="W112" s="38">
        <f>+$B112*Macro!W$5*Macro!W$18*Assumptions!W111</f>
        <v>8589.7895408403147</v>
      </c>
      <c r="X112" s="38">
        <f>+$B112*Macro!X$5*Macro!X$18*Assumptions!X111</f>
        <v>8674.4282293562937</v>
      </c>
    </row>
    <row r="113" spans="1:24" x14ac:dyDescent="0.3">
      <c r="A113" s="39" t="s">
        <v>75</v>
      </c>
      <c r="B113">
        <v>15</v>
      </c>
      <c r="C113" t="s">
        <v>68</v>
      </c>
      <c r="E113" s="1">
        <f t="shared" ref="E113:X113" si="144">+$B113*E$6</f>
        <v>0</v>
      </c>
      <c r="F113" s="1">
        <f t="shared" si="144"/>
        <v>0</v>
      </c>
      <c r="G113" s="1">
        <f t="shared" si="144"/>
        <v>15</v>
      </c>
      <c r="H113" s="1">
        <f t="shared" si="144"/>
        <v>15</v>
      </c>
      <c r="I113" s="1">
        <f t="shared" si="144"/>
        <v>15</v>
      </c>
      <c r="J113" s="1">
        <f t="shared" si="144"/>
        <v>15</v>
      </c>
      <c r="K113" s="1">
        <f t="shared" si="144"/>
        <v>15</v>
      </c>
      <c r="L113" s="1">
        <f t="shared" si="144"/>
        <v>15</v>
      </c>
      <c r="M113" s="1">
        <f t="shared" si="144"/>
        <v>15</v>
      </c>
      <c r="N113" s="1">
        <f t="shared" si="144"/>
        <v>15</v>
      </c>
      <c r="O113" s="1">
        <f t="shared" si="144"/>
        <v>15</v>
      </c>
      <c r="P113" s="1">
        <f t="shared" si="144"/>
        <v>15</v>
      </c>
      <c r="Q113" s="1">
        <f t="shared" si="144"/>
        <v>15</v>
      </c>
      <c r="R113" s="1">
        <f t="shared" si="144"/>
        <v>15</v>
      </c>
      <c r="S113" s="1">
        <f t="shared" si="144"/>
        <v>15</v>
      </c>
      <c r="T113" s="1">
        <f t="shared" si="144"/>
        <v>15</v>
      </c>
      <c r="U113" s="1">
        <f t="shared" si="144"/>
        <v>15</v>
      </c>
      <c r="V113" s="1">
        <f t="shared" si="144"/>
        <v>15</v>
      </c>
      <c r="W113" s="1">
        <f t="shared" si="144"/>
        <v>15</v>
      </c>
      <c r="X113" s="1">
        <f t="shared" si="144"/>
        <v>15</v>
      </c>
    </row>
    <row r="114" spans="1:24" x14ac:dyDescent="0.3">
      <c r="A114" s="40" t="s">
        <v>69</v>
      </c>
      <c r="B114" s="25">
        <v>50</v>
      </c>
      <c r="C114" t="str">
        <f>+Currency</f>
        <v>Rub '000'</v>
      </c>
      <c r="D114" t="s">
        <v>76</v>
      </c>
      <c r="E114" s="38">
        <f>+$B114*Macro!E$5*Macro!E$18*Assumptions!E113</f>
        <v>0</v>
      </c>
      <c r="F114" s="38">
        <f>+$B114*Macro!F$5*Macro!F$18*Assumptions!F113</f>
        <v>0</v>
      </c>
      <c r="G114" s="38">
        <f>+$B114*Macro!G$5*Macro!G$18*Assumptions!G113</f>
        <v>2294.5587811167529</v>
      </c>
      <c r="H114" s="38">
        <f>+$B114*Macro!H$5*Macro!H$18*Assumptions!H113</f>
        <v>2317.1680016376026</v>
      </c>
      <c r="I114" s="38">
        <f>+$B114*Macro!I$5*Macro!I$18*Assumptions!I113</f>
        <v>2339.9999999999991</v>
      </c>
      <c r="J114" s="38">
        <f>+$B114*Macro!J$5*Macro!J$18*Assumptions!J113</f>
        <v>2363.0569713245864</v>
      </c>
      <c r="K114" s="38">
        <f>+$B114*Macro!K$5*Macro!K$18*Assumptions!K113</f>
        <v>2386.3411323614228</v>
      </c>
      <c r="L114" s="38">
        <f>+$B114*Macro!L$5*Macro!L$18*Assumptions!L113</f>
        <v>2409.854721703106</v>
      </c>
      <c r="M114" s="38">
        <f>+$B114*Macro!M$5*Macro!M$18*Assumptions!M113</f>
        <v>2433.599999999999</v>
      </c>
      <c r="N114" s="38">
        <f>+$B114*Macro!N$5*Macro!N$18*Assumptions!N113</f>
        <v>2457.5792501775695</v>
      </c>
      <c r="O114" s="38">
        <f>+$B114*Macro!O$5*Macro!O$18*Assumptions!O113</f>
        <v>2481.7947776558794</v>
      </c>
      <c r="P114" s="38">
        <f>+$B114*Macro!P$5*Macro!P$18*Assumptions!P113</f>
        <v>2506.2489105712302</v>
      </c>
      <c r="Q114" s="38">
        <f>+$B114*Macro!Q$5*Macro!Q$18*Assumptions!Q113</f>
        <v>2530.9439999999986</v>
      </c>
      <c r="R114" s="38">
        <f>+$B114*Macro!R$5*Macro!R$18*Assumptions!R113</f>
        <v>2555.8824201846719</v>
      </c>
      <c r="S114" s="38">
        <f>+$B114*Macro!S$5*Macro!S$18*Assumptions!S113</f>
        <v>2581.0665687621145</v>
      </c>
      <c r="T114" s="38">
        <f>+$B114*Macro!T$5*Macro!T$18*Assumptions!T113</f>
        <v>2606.4988669940794</v>
      </c>
      <c r="U114" s="38">
        <f>+$B114*Macro!U$5*Macro!U$18*Assumptions!U113</f>
        <v>2632.1817599999986</v>
      </c>
      <c r="V114" s="38">
        <f>+$B114*Macro!V$5*Macro!V$18*Assumptions!V113</f>
        <v>2658.1177169920588</v>
      </c>
      <c r="W114" s="38">
        <f>+$B114*Macro!W$5*Macro!W$18*Assumptions!W113</f>
        <v>2684.3092315125982</v>
      </c>
      <c r="X114" s="38">
        <f>+$B114*Macro!X$5*Macro!X$18*Assumptions!X113</f>
        <v>2710.7588216738418</v>
      </c>
    </row>
    <row r="118" spans="1:24" x14ac:dyDescent="0.3">
      <c r="A118" s="39" t="s">
        <v>77</v>
      </c>
      <c r="B118">
        <v>6</v>
      </c>
      <c r="C118" t="s">
        <v>68</v>
      </c>
      <c r="E118" s="1">
        <f t="shared" ref="E118:X118" si="145">+$B118*E$6</f>
        <v>0</v>
      </c>
      <c r="F118" s="1">
        <f t="shared" si="145"/>
        <v>0</v>
      </c>
      <c r="G118" s="1">
        <f t="shared" si="145"/>
        <v>6</v>
      </c>
      <c r="H118" s="1">
        <f t="shared" si="145"/>
        <v>6</v>
      </c>
      <c r="I118" s="1">
        <f t="shared" si="145"/>
        <v>6</v>
      </c>
      <c r="J118" s="1">
        <f t="shared" si="145"/>
        <v>6</v>
      </c>
      <c r="K118" s="1">
        <f t="shared" si="145"/>
        <v>6</v>
      </c>
      <c r="L118" s="1">
        <f t="shared" si="145"/>
        <v>6</v>
      </c>
      <c r="M118" s="1">
        <f t="shared" si="145"/>
        <v>6</v>
      </c>
      <c r="N118" s="1">
        <f t="shared" si="145"/>
        <v>6</v>
      </c>
      <c r="O118" s="1">
        <f t="shared" si="145"/>
        <v>6</v>
      </c>
      <c r="P118" s="1">
        <f t="shared" si="145"/>
        <v>6</v>
      </c>
      <c r="Q118" s="1">
        <f t="shared" si="145"/>
        <v>6</v>
      </c>
      <c r="R118" s="1">
        <f t="shared" si="145"/>
        <v>6</v>
      </c>
      <c r="S118" s="1">
        <f t="shared" si="145"/>
        <v>6</v>
      </c>
      <c r="T118" s="1">
        <f t="shared" si="145"/>
        <v>6</v>
      </c>
      <c r="U118" s="1">
        <f t="shared" si="145"/>
        <v>6</v>
      </c>
      <c r="V118" s="1">
        <f t="shared" si="145"/>
        <v>6</v>
      </c>
      <c r="W118" s="1">
        <f t="shared" si="145"/>
        <v>6</v>
      </c>
      <c r="X118" s="1">
        <f t="shared" si="145"/>
        <v>6</v>
      </c>
    </row>
    <row r="119" spans="1:24" x14ac:dyDescent="0.3">
      <c r="A119" s="40" t="s">
        <v>69</v>
      </c>
      <c r="B119" s="25">
        <v>120</v>
      </c>
      <c r="C119" t="str">
        <f>+Currency</f>
        <v>Rub '000'</v>
      </c>
      <c r="D119" t="s">
        <v>80</v>
      </c>
      <c r="E119" s="38">
        <f>+$B119*Macro!E$5*Macro!E$18*Assumptions!E118</f>
        <v>0</v>
      </c>
      <c r="F119" s="38">
        <f>+$B119*Macro!F$5*Macro!F$18*Assumptions!F118</f>
        <v>0</v>
      </c>
      <c r="G119" s="38">
        <f>+$B119*Macro!G$5*Macro!G$18*Assumptions!G118</f>
        <v>2202.7764298720826</v>
      </c>
      <c r="H119" s="38">
        <f>+$B119*Macro!H$5*Macro!H$18*Assumptions!H118</f>
        <v>2224.4812815720979</v>
      </c>
      <c r="I119" s="38">
        <f>+$B119*Macro!I$5*Macro!I$18*Assumptions!I118</f>
        <v>2246.3999999999992</v>
      </c>
      <c r="J119" s="38">
        <f>+$B119*Macro!J$5*Macro!J$18*Assumptions!J118</f>
        <v>2268.5346924716027</v>
      </c>
      <c r="K119" s="38">
        <f>+$B119*Macro!K$5*Macro!K$18*Assumptions!K118</f>
        <v>2290.8874870669656</v>
      </c>
      <c r="L119" s="38">
        <f>+$B119*Macro!L$5*Macro!L$18*Assumptions!L118</f>
        <v>2313.4605328349817</v>
      </c>
      <c r="M119" s="38">
        <f>+$B119*Macro!M$5*Macro!M$18*Assumptions!M118</f>
        <v>2336.2559999999989</v>
      </c>
      <c r="N119" s="38">
        <f>+$B119*Macro!N$5*Macro!N$18*Assumptions!N118</f>
        <v>2359.2760801704667</v>
      </c>
      <c r="O119" s="38">
        <f>+$B119*Macro!O$5*Macro!O$18*Assumptions!O118</f>
        <v>2382.522986549644</v>
      </c>
      <c r="P119" s="38">
        <f>+$B119*Macro!P$5*Macro!P$18*Assumptions!P118</f>
        <v>2405.998954148381</v>
      </c>
      <c r="Q119" s="38">
        <f>+$B119*Macro!Q$5*Macro!Q$18*Assumptions!Q118</f>
        <v>2429.7062399999986</v>
      </c>
      <c r="R119" s="38">
        <f>+$B119*Macro!R$5*Macro!R$18*Assumptions!R118</f>
        <v>2453.6471233772854</v>
      </c>
      <c r="S119" s="38">
        <f>+$B119*Macro!S$5*Macro!S$18*Assumptions!S118</f>
        <v>2477.8239060116298</v>
      </c>
      <c r="T119" s="38">
        <f>+$B119*Macro!T$5*Macro!T$18*Assumptions!T118</f>
        <v>2502.2389123143162</v>
      </c>
      <c r="U119" s="38">
        <f>+$B119*Macro!U$5*Macro!U$18*Assumptions!U118</f>
        <v>2526.8944895999985</v>
      </c>
      <c r="V119" s="38">
        <f>+$B119*Macro!V$5*Macro!V$18*Assumptions!V118</f>
        <v>2551.7930083123765</v>
      </c>
      <c r="W119" s="38">
        <f>+$B119*Macro!W$5*Macro!W$18*Assumptions!W118</f>
        <v>2576.9368622520942</v>
      </c>
      <c r="X119" s="38">
        <f>+$B119*Macro!X$5*Macro!X$18*Assumptions!X118</f>
        <v>2602.3284688068879</v>
      </c>
    </row>
    <row r="120" spans="1:24" x14ac:dyDescent="0.3">
      <c r="A120" s="39" t="s">
        <v>78</v>
      </c>
      <c r="B120">
        <v>12</v>
      </c>
      <c r="C120" t="s">
        <v>68</v>
      </c>
      <c r="E120" s="1">
        <f t="shared" ref="E120:X120" si="146">+$B120*E$6</f>
        <v>0</v>
      </c>
      <c r="F120" s="1">
        <f t="shared" si="146"/>
        <v>0</v>
      </c>
      <c r="G120" s="1">
        <f t="shared" si="146"/>
        <v>12</v>
      </c>
      <c r="H120" s="1">
        <f t="shared" si="146"/>
        <v>12</v>
      </c>
      <c r="I120" s="1">
        <f t="shared" si="146"/>
        <v>12</v>
      </c>
      <c r="J120" s="1">
        <f t="shared" si="146"/>
        <v>12</v>
      </c>
      <c r="K120" s="1">
        <f t="shared" si="146"/>
        <v>12</v>
      </c>
      <c r="L120" s="1">
        <f t="shared" si="146"/>
        <v>12</v>
      </c>
      <c r="M120" s="1">
        <f t="shared" si="146"/>
        <v>12</v>
      </c>
      <c r="N120" s="1">
        <f t="shared" si="146"/>
        <v>12</v>
      </c>
      <c r="O120" s="1">
        <f t="shared" si="146"/>
        <v>12</v>
      </c>
      <c r="P120" s="1">
        <f t="shared" si="146"/>
        <v>12</v>
      </c>
      <c r="Q120" s="1">
        <f t="shared" si="146"/>
        <v>12</v>
      </c>
      <c r="R120" s="1">
        <f t="shared" si="146"/>
        <v>12</v>
      </c>
      <c r="S120" s="1">
        <f t="shared" si="146"/>
        <v>12</v>
      </c>
      <c r="T120" s="1">
        <f t="shared" si="146"/>
        <v>12</v>
      </c>
      <c r="U120" s="1">
        <f t="shared" si="146"/>
        <v>12</v>
      </c>
      <c r="V120" s="1">
        <f t="shared" si="146"/>
        <v>12</v>
      </c>
      <c r="W120" s="1">
        <f t="shared" si="146"/>
        <v>12</v>
      </c>
      <c r="X120" s="1">
        <f t="shared" si="146"/>
        <v>12</v>
      </c>
    </row>
    <row r="121" spans="1:24" x14ac:dyDescent="0.3">
      <c r="A121" s="40" t="s">
        <v>69</v>
      </c>
      <c r="B121" s="25">
        <v>50</v>
      </c>
      <c r="C121" t="str">
        <f>+Currency</f>
        <v>Rub '000'</v>
      </c>
      <c r="D121" t="s">
        <v>80</v>
      </c>
      <c r="E121" s="38">
        <f>+$B121*Macro!E$5*Macro!E$18*Assumptions!E120</f>
        <v>0</v>
      </c>
      <c r="F121" s="38">
        <f>+$B121*Macro!F$5*Macro!F$18*Assumptions!F120</f>
        <v>0</v>
      </c>
      <c r="G121" s="38">
        <f>+$B121*Macro!G$5*Macro!G$18*Assumptions!G120</f>
        <v>1835.6470248934022</v>
      </c>
      <c r="H121" s="38">
        <f>+$B121*Macro!H$5*Macro!H$18*Assumptions!H120</f>
        <v>1853.7344013100819</v>
      </c>
      <c r="I121" s="38">
        <f>+$B121*Macro!I$5*Macro!I$18*Assumptions!I120</f>
        <v>1871.9999999999993</v>
      </c>
      <c r="J121" s="38">
        <f>+$B121*Macro!J$5*Macro!J$18*Assumptions!J120</f>
        <v>1890.4455770596692</v>
      </c>
      <c r="K121" s="38">
        <f>+$B121*Macro!K$5*Macro!K$18*Assumptions!K120</f>
        <v>1909.0729058891382</v>
      </c>
      <c r="L121" s="38">
        <f>+$B121*Macro!L$5*Macro!L$18*Assumptions!L120</f>
        <v>1927.883777362485</v>
      </c>
      <c r="M121" s="38">
        <f>+$B121*Macro!M$5*Macro!M$18*Assumptions!M120</f>
        <v>1946.8799999999992</v>
      </c>
      <c r="N121" s="38">
        <f>+$B121*Macro!N$5*Macro!N$18*Assumptions!N120</f>
        <v>1966.0634001420553</v>
      </c>
      <c r="O121" s="38">
        <f>+$B121*Macro!O$5*Macro!O$18*Assumptions!O120</f>
        <v>1985.4358221247035</v>
      </c>
      <c r="P121" s="38">
        <f>+$B121*Macro!P$5*Macro!P$18*Assumptions!P120</f>
        <v>2004.9991284569842</v>
      </c>
      <c r="Q121" s="38">
        <f>+$B121*Macro!Q$5*Macro!Q$18*Assumptions!Q120</f>
        <v>2024.7551999999991</v>
      </c>
      <c r="R121" s="38">
        <f>+$B121*Macro!R$5*Macro!R$18*Assumptions!R120</f>
        <v>2044.7059361477377</v>
      </c>
      <c r="S121" s="38">
        <f>+$B121*Macro!S$5*Macro!S$18*Assumptions!S120</f>
        <v>2064.8532550096916</v>
      </c>
      <c r="T121" s="38">
        <f>+$B121*Macro!T$5*Macro!T$18*Assumptions!T120</f>
        <v>2085.1990935952635</v>
      </c>
      <c r="U121" s="38">
        <f>+$B121*Macro!U$5*Macro!U$18*Assumptions!U120</f>
        <v>2105.7454079999989</v>
      </c>
      <c r="V121" s="38">
        <f>+$B121*Macro!V$5*Macro!V$18*Assumptions!V120</f>
        <v>2126.4941735936472</v>
      </c>
      <c r="W121" s="38">
        <f>+$B121*Macro!W$5*Macro!W$18*Assumptions!W120</f>
        <v>2147.4473852100787</v>
      </c>
      <c r="X121" s="38">
        <f>+$B121*Macro!X$5*Macro!X$18*Assumptions!X120</f>
        <v>2168.6070573390734</v>
      </c>
    </row>
    <row r="122" spans="1:24" x14ac:dyDescent="0.3">
      <c r="A122" s="39" t="s">
        <v>79</v>
      </c>
      <c r="B122">
        <v>20</v>
      </c>
      <c r="C122" t="s">
        <v>68</v>
      </c>
      <c r="E122" s="1">
        <f t="shared" ref="E122:X122" si="147">+$B122*E$6</f>
        <v>0</v>
      </c>
      <c r="F122" s="1">
        <f t="shared" si="147"/>
        <v>0</v>
      </c>
      <c r="G122" s="1">
        <f t="shared" si="147"/>
        <v>20</v>
      </c>
      <c r="H122" s="1">
        <f t="shared" si="147"/>
        <v>20</v>
      </c>
      <c r="I122" s="1">
        <f t="shared" si="147"/>
        <v>20</v>
      </c>
      <c r="J122" s="1">
        <f t="shared" si="147"/>
        <v>20</v>
      </c>
      <c r="K122" s="1">
        <f t="shared" si="147"/>
        <v>20</v>
      </c>
      <c r="L122" s="1">
        <f t="shared" si="147"/>
        <v>20</v>
      </c>
      <c r="M122" s="1">
        <f t="shared" si="147"/>
        <v>20</v>
      </c>
      <c r="N122" s="1">
        <f t="shared" si="147"/>
        <v>20</v>
      </c>
      <c r="O122" s="1">
        <f t="shared" si="147"/>
        <v>20</v>
      </c>
      <c r="P122" s="1">
        <f t="shared" si="147"/>
        <v>20</v>
      </c>
      <c r="Q122" s="1">
        <f t="shared" si="147"/>
        <v>20</v>
      </c>
      <c r="R122" s="1">
        <f t="shared" si="147"/>
        <v>20</v>
      </c>
      <c r="S122" s="1">
        <f t="shared" si="147"/>
        <v>20</v>
      </c>
      <c r="T122" s="1">
        <f t="shared" si="147"/>
        <v>20</v>
      </c>
      <c r="U122" s="1">
        <f t="shared" si="147"/>
        <v>20</v>
      </c>
      <c r="V122" s="1">
        <f t="shared" si="147"/>
        <v>20</v>
      </c>
      <c r="W122" s="1">
        <f t="shared" si="147"/>
        <v>20</v>
      </c>
      <c r="X122" s="1">
        <f t="shared" si="147"/>
        <v>20</v>
      </c>
    </row>
    <row r="123" spans="1:24" x14ac:dyDescent="0.3">
      <c r="A123" s="40" t="s">
        <v>69</v>
      </c>
      <c r="B123" s="25">
        <v>30</v>
      </c>
      <c r="C123" t="str">
        <f>+Currency</f>
        <v>Rub '000'</v>
      </c>
      <c r="D123" t="s">
        <v>80</v>
      </c>
      <c r="E123" s="38">
        <f>+$B123*Macro!E$5*Macro!E$18*Assumptions!E122</f>
        <v>0</v>
      </c>
      <c r="F123" s="38">
        <f>+$B123*Macro!F$5*Macro!F$18*Assumptions!F122</f>
        <v>0</v>
      </c>
      <c r="G123" s="38">
        <f>+$B123*Macro!G$5*Macro!G$18*Assumptions!G122</f>
        <v>1835.6470248934022</v>
      </c>
      <c r="H123" s="38">
        <f>+$B123*Macro!H$5*Macro!H$18*Assumptions!H122</f>
        <v>1853.7344013100819</v>
      </c>
      <c r="I123" s="38">
        <f>+$B123*Macro!I$5*Macro!I$18*Assumptions!I122</f>
        <v>1871.9999999999993</v>
      </c>
      <c r="J123" s="38">
        <f>+$B123*Macro!J$5*Macro!J$18*Assumptions!J122</f>
        <v>1890.4455770596689</v>
      </c>
      <c r="K123" s="38">
        <f>+$B123*Macro!K$5*Macro!K$18*Assumptions!K122</f>
        <v>1909.0729058891382</v>
      </c>
      <c r="L123" s="38">
        <f>+$B123*Macro!L$5*Macro!L$18*Assumptions!L122</f>
        <v>1927.883777362485</v>
      </c>
      <c r="M123" s="38">
        <f>+$B123*Macro!M$5*Macro!M$18*Assumptions!M122</f>
        <v>1946.879999999999</v>
      </c>
      <c r="N123" s="38">
        <f>+$B123*Macro!N$5*Macro!N$18*Assumptions!N122</f>
        <v>1966.0634001420556</v>
      </c>
      <c r="O123" s="38">
        <f>+$B123*Macro!O$5*Macro!O$18*Assumptions!O122</f>
        <v>1985.4358221247035</v>
      </c>
      <c r="P123" s="38">
        <f>+$B123*Macro!P$5*Macro!P$18*Assumptions!P122</f>
        <v>2004.9991284569842</v>
      </c>
      <c r="Q123" s="38">
        <f>+$B123*Macro!Q$5*Macro!Q$18*Assumptions!Q122</f>
        <v>2024.7551999999991</v>
      </c>
      <c r="R123" s="38">
        <f>+$B123*Macro!R$5*Macro!R$18*Assumptions!R122</f>
        <v>2044.7059361477377</v>
      </c>
      <c r="S123" s="38">
        <f>+$B123*Macro!S$5*Macro!S$18*Assumptions!S122</f>
        <v>2064.8532550096916</v>
      </c>
      <c r="T123" s="38">
        <f>+$B123*Macro!T$5*Macro!T$18*Assumptions!T122</f>
        <v>2085.1990935952635</v>
      </c>
      <c r="U123" s="38">
        <f>+$B123*Macro!U$5*Macro!U$18*Assumptions!U122</f>
        <v>2105.7454079999989</v>
      </c>
      <c r="V123" s="38">
        <f>+$B123*Macro!V$5*Macro!V$18*Assumptions!V122</f>
        <v>2126.4941735936468</v>
      </c>
      <c r="W123" s="38">
        <f>+$B123*Macro!W$5*Macro!W$18*Assumptions!W122</f>
        <v>2147.4473852100787</v>
      </c>
      <c r="X123" s="38">
        <f>+$B123*Macro!X$5*Macro!X$18*Assumptions!X122</f>
        <v>2168.6070573390734</v>
      </c>
    </row>
    <row r="125" spans="1:24" x14ac:dyDescent="0.3">
      <c r="A125" s="16" t="s">
        <v>32</v>
      </c>
    </row>
    <row r="126" spans="1:24" x14ac:dyDescent="0.3">
      <c r="A126" t="s">
        <v>81</v>
      </c>
      <c r="C126" t="str">
        <f>+Currency</f>
        <v>Rub '000'</v>
      </c>
      <c r="D126" t="s">
        <v>70</v>
      </c>
      <c r="E126" s="38">
        <f t="shared" ref="E126:N128" si="148">+SUMIF($D$97:$D$123,$D126,E$97:E$123)</f>
        <v>0</v>
      </c>
      <c r="F126" s="38">
        <f t="shared" si="148"/>
        <v>0</v>
      </c>
      <c r="G126" s="38">
        <f t="shared" si="148"/>
        <v>14012.105623352971</v>
      </c>
      <c r="H126" s="38">
        <f t="shared" si="148"/>
        <v>14150.172596666956</v>
      </c>
      <c r="I126" s="38">
        <f t="shared" si="148"/>
        <v>14289.599999999995</v>
      </c>
      <c r="J126" s="38">
        <f t="shared" si="148"/>
        <v>14430.401238222141</v>
      </c>
      <c r="K126" s="38">
        <f t="shared" si="148"/>
        <v>14572.589848287087</v>
      </c>
      <c r="L126" s="38">
        <f t="shared" si="148"/>
        <v>14716.179500533635</v>
      </c>
      <c r="M126" s="38">
        <f t="shared" si="148"/>
        <v>14861.183999999994</v>
      </c>
      <c r="N126" s="38">
        <f t="shared" si="148"/>
        <v>15007.617287751022</v>
      </c>
      <c r="O126" s="38">
        <f t="shared" ref="O126:X128" si="149">+SUMIF($D$97:$D$123,$D126,O$97:O$123)</f>
        <v>15155.493442218569</v>
      </c>
      <c r="P126" s="38">
        <f t="shared" si="149"/>
        <v>15304.826680554979</v>
      </c>
      <c r="Q126" s="38">
        <f t="shared" si="149"/>
        <v>15455.631359999994</v>
      </c>
      <c r="R126" s="38">
        <f t="shared" si="149"/>
        <v>15607.921979261064</v>
      </c>
      <c r="S126" s="38">
        <f t="shared" si="149"/>
        <v>15761.71317990731</v>
      </c>
      <c r="T126" s="38">
        <f t="shared" si="149"/>
        <v>15917.019747777178</v>
      </c>
      <c r="U126" s="38">
        <f t="shared" si="149"/>
        <v>16073.856614399989</v>
      </c>
      <c r="V126" s="38">
        <f t="shared" si="149"/>
        <v>16232.238858431505</v>
      </c>
      <c r="W126" s="38">
        <f t="shared" si="149"/>
        <v>16392.181707103602</v>
      </c>
      <c r="X126" s="38">
        <f t="shared" si="149"/>
        <v>16553.700537688259</v>
      </c>
    </row>
    <row r="127" spans="1:24" x14ac:dyDescent="0.3">
      <c r="A127" t="s">
        <v>82</v>
      </c>
      <c r="C127" t="str">
        <f>+Currency</f>
        <v>Rub '000'</v>
      </c>
      <c r="D127" t="s">
        <v>76</v>
      </c>
      <c r="E127" s="38">
        <f t="shared" si="148"/>
        <v>0</v>
      </c>
      <c r="F127" s="38">
        <f t="shared" si="148"/>
        <v>0</v>
      </c>
      <c r="G127" s="38">
        <f t="shared" si="148"/>
        <v>9637.1468806903613</v>
      </c>
      <c r="H127" s="38">
        <f t="shared" si="148"/>
        <v>9732.1056068779308</v>
      </c>
      <c r="I127" s="38">
        <f t="shared" si="148"/>
        <v>9827.9999999999964</v>
      </c>
      <c r="J127" s="38">
        <f t="shared" si="148"/>
        <v>9924.8392795632626</v>
      </c>
      <c r="K127" s="38">
        <f t="shared" si="148"/>
        <v>10022.632755917974</v>
      </c>
      <c r="L127" s="38">
        <f t="shared" si="148"/>
        <v>10121.389831153047</v>
      </c>
      <c r="M127" s="38">
        <f t="shared" si="148"/>
        <v>10221.119999999995</v>
      </c>
      <c r="N127" s="38">
        <f t="shared" si="148"/>
        <v>10321.832850745792</v>
      </c>
      <c r="O127" s="38">
        <f t="shared" si="149"/>
        <v>10423.538066154691</v>
      </c>
      <c r="P127" s="38">
        <f t="shared" si="149"/>
        <v>10526.245424399167</v>
      </c>
      <c r="Q127" s="38">
        <f t="shared" si="149"/>
        <v>10629.964799999994</v>
      </c>
      <c r="R127" s="38">
        <f t="shared" si="149"/>
        <v>10734.706164775624</v>
      </c>
      <c r="S127" s="38">
        <f t="shared" si="149"/>
        <v>10840.479588800881</v>
      </c>
      <c r="T127" s="38">
        <f t="shared" si="149"/>
        <v>10947.295241375134</v>
      </c>
      <c r="U127" s="38">
        <f t="shared" si="149"/>
        <v>11055.163391999995</v>
      </c>
      <c r="V127" s="38">
        <f t="shared" si="149"/>
        <v>11164.094411366646</v>
      </c>
      <c r="W127" s="38">
        <f t="shared" si="149"/>
        <v>11274.098772352912</v>
      </c>
      <c r="X127" s="38">
        <f t="shared" si="149"/>
        <v>11385.187051030136</v>
      </c>
    </row>
    <row r="128" spans="1:24" x14ac:dyDescent="0.3">
      <c r="A128" t="s">
        <v>83</v>
      </c>
      <c r="C128" t="str">
        <f>+Currency</f>
        <v>Rub '000'</v>
      </c>
      <c r="D128" t="s">
        <v>80</v>
      </c>
      <c r="E128" s="38">
        <f t="shared" si="148"/>
        <v>0</v>
      </c>
      <c r="F128" s="38">
        <f t="shared" si="148"/>
        <v>0</v>
      </c>
      <c r="G128" s="38">
        <f t="shared" si="148"/>
        <v>5874.0704796588871</v>
      </c>
      <c r="H128" s="38">
        <f t="shared" si="148"/>
        <v>5931.9500841922618</v>
      </c>
      <c r="I128" s="38">
        <f t="shared" si="148"/>
        <v>5990.3999999999978</v>
      </c>
      <c r="J128" s="38">
        <f t="shared" si="148"/>
        <v>6049.4258465909406</v>
      </c>
      <c r="K128" s="38">
        <f t="shared" si="148"/>
        <v>6109.0332988452419</v>
      </c>
      <c r="L128" s="38">
        <f t="shared" si="148"/>
        <v>6169.2280875599517</v>
      </c>
      <c r="M128" s="38">
        <f t="shared" si="148"/>
        <v>6230.0159999999978</v>
      </c>
      <c r="N128" s="38">
        <f t="shared" si="148"/>
        <v>6291.4028804545778</v>
      </c>
      <c r="O128" s="38">
        <f t="shared" si="149"/>
        <v>6353.3946307990518</v>
      </c>
      <c r="P128" s="38">
        <f t="shared" si="149"/>
        <v>6415.9972110623494</v>
      </c>
      <c r="Q128" s="38">
        <f t="shared" si="149"/>
        <v>6479.2166399999969</v>
      </c>
      <c r="R128" s="38">
        <f t="shared" si="149"/>
        <v>6543.0589956727608</v>
      </c>
      <c r="S128" s="38">
        <f t="shared" si="149"/>
        <v>6607.5304160310134</v>
      </c>
      <c r="T128" s="38">
        <f t="shared" si="149"/>
        <v>6672.6370995048437</v>
      </c>
      <c r="U128" s="38">
        <f t="shared" si="149"/>
        <v>6738.3853055999962</v>
      </c>
      <c r="V128" s="38">
        <f t="shared" si="149"/>
        <v>6804.7813554996701</v>
      </c>
      <c r="W128" s="38">
        <f t="shared" si="149"/>
        <v>6871.8316326722506</v>
      </c>
      <c r="X128" s="38">
        <f t="shared" si="149"/>
        <v>6939.5425834850348</v>
      </c>
    </row>
    <row r="129" spans="1:24" x14ac:dyDescent="0.3">
      <c r="A129" t="s">
        <v>84</v>
      </c>
      <c r="C129" t="str">
        <f>+Currency</f>
        <v>Rub '000'</v>
      </c>
      <c r="E129" s="38">
        <f>+SUM(E126:E128)*Macro!E$25</f>
        <v>0</v>
      </c>
      <c r="F129" s="38">
        <f>+SUM(F126:F128)*Macro!F$25</f>
        <v>0</v>
      </c>
      <c r="G129" s="38">
        <f>+SUM(G126:G128)*Macro!G$25</f>
        <v>8856.9968951106657</v>
      </c>
      <c r="H129" s="38">
        <f>+SUM(H126:H128)*Macro!H$25</f>
        <v>8944.2684863211434</v>
      </c>
      <c r="I129" s="38">
        <f>+SUM(I126:I128)*Macro!I$25</f>
        <v>9032.399999999996</v>
      </c>
      <c r="J129" s="38">
        <f>+SUM(J126:J128)*Macro!J$25</f>
        <v>9121.3999093129023</v>
      </c>
      <c r="K129" s="38">
        <f>+SUM(K126:K128)*Macro!K$25</f>
        <v>9211.2767709150903</v>
      </c>
      <c r="L129" s="38">
        <f>+SUM(L126:L128)*Macro!L$25</f>
        <v>9302.0392257739895</v>
      </c>
      <c r="M129" s="38">
        <f>+SUM(M126:M128)*Macro!M$25</f>
        <v>9393.6959999999945</v>
      </c>
      <c r="N129" s="38">
        <f>+SUM(N126:N128)*Macro!N$25</f>
        <v>9486.255905685417</v>
      </c>
      <c r="O129" s="38">
        <f>+SUM(O126:O128)*Macro!O$25</f>
        <v>9579.7278417516936</v>
      </c>
      <c r="P129" s="38">
        <f>+SUM(P126:P128)*Macro!P$25</f>
        <v>9674.1207948049487</v>
      </c>
      <c r="Q129" s="38">
        <f>+SUM(Q126:Q128)*Macro!Q$25</f>
        <v>9769.4438399999945</v>
      </c>
      <c r="R129" s="38">
        <f>+SUM(R126:R128)*Macro!R$25</f>
        <v>9865.7061419128349</v>
      </c>
      <c r="S129" s="38">
        <f>+SUM(S126:S128)*Macro!S$25</f>
        <v>9962.9169554217606</v>
      </c>
      <c r="T129" s="38">
        <f>+SUM(T126:T128)*Macro!T$25</f>
        <v>10061.085626597147</v>
      </c>
      <c r="U129" s="38">
        <f>+SUM(U126:U128)*Macro!U$25</f>
        <v>10160.221593599994</v>
      </c>
      <c r="V129" s="38">
        <f>+SUM(V126:V128)*Macro!V$25</f>
        <v>10260.334387589346</v>
      </c>
      <c r="W129" s="38">
        <f>+SUM(W126:W128)*Macro!W$25</f>
        <v>10361.43363363863</v>
      </c>
      <c r="X129" s="38">
        <f>+SUM(X126:X128)*Macro!X$25</f>
        <v>10463.529051661028</v>
      </c>
    </row>
    <row r="130" spans="1:24" s="16" customFormat="1" x14ac:dyDescent="0.3">
      <c r="A130" s="16" t="s">
        <v>85</v>
      </c>
      <c r="C130" s="16" t="str">
        <f>+Currency</f>
        <v>Rub '000'</v>
      </c>
      <c r="E130" s="35">
        <f t="shared" ref="E130:X130" si="150">SUM(E126:E129)</f>
        <v>0</v>
      </c>
      <c r="F130" s="35">
        <f t="shared" si="150"/>
        <v>0</v>
      </c>
      <c r="G130" s="35">
        <f t="shared" si="150"/>
        <v>38380.319878812887</v>
      </c>
      <c r="H130" s="35">
        <f t="shared" si="150"/>
        <v>38758.496774058294</v>
      </c>
      <c r="I130" s="35">
        <f t="shared" si="150"/>
        <v>39140.399999999987</v>
      </c>
      <c r="J130" s="35">
        <f t="shared" si="150"/>
        <v>39526.066273689241</v>
      </c>
      <c r="K130" s="35">
        <f t="shared" si="150"/>
        <v>39915.532673965397</v>
      </c>
      <c r="L130" s="35">
        <f t="shared" si="150"/>
        <v>40308.836645020623</v>
      </c>
      <c r="M130" s="35">
        <f t="shared" si="150"/>
        <v>40706.015999999981</v>
      </c>
      <c r="N130" s="35">
        <f t="shared" si="150"/>
        <v>41107.108924636806</v>
      </c>
      <c r="O130" s="35">
        <f t="shared" si="150"/>
        <v>41512.153980924006</v>
      </c>
      <c r="P130" s="35">
        <f t="shared" si="150"/>
        <v>41921.190110821444</v>
      </c>
      <c r="Q130" s="35">
        <f t="shared" si="150"/>
        <v>42334.256639999978</v>
      </c>
      <c r="R130" s="35">
        <f t="shared" si="150"/>
        <v>42751.393281622288</v>
      </c>
      <c r="S130" s="35">
        <f t="shared" si="150"/>
        <v>43172.640140160962</v>
      </c>
      <c r="T130" s="35">
        <f t="shared" si="150"/>
        <v>43598.037715254301</v>
      </c>
      <c r="U130" s="35">
        <f t="shared" si="150"/>
        <v>44027.626905599973</v>
      </c>
      <c r="V130" s="35">
        <f t="shared" si="150"/>
        <v>44461.449012887169</v>
      </c>
      <c r="W130" s="35">
        <f t="shared" si="150"/>
        <v>44899.545745767391</v>
      </c>
      <c r="X130" s="35">
        <f t="shared" si="150"/>
        <v>45341.959223864455</v>
      </c>
    </row>
    <row r="133" spans="1:24" ht="15" thickBot="1" x14ac:dyDescent="0.35">
      <c r="A133" s="6" t="s">
        <v>97</v>
      </c>
      <c r="B133" s="6"/>
      <c r="C133" s="6"/>
      <c r="D133" s="6"/>
      <c r="E133" s="7" t="str">
        <f t="shared" ref="E133:X133" si="151">+E$2</f>
        <v>1Q 2024</v>
      </c>
      <c r="F133" s="7" t="str">
        <f t="shared" si="151"/>
        <v>2Q 2024</v>
      </c>
      <c r="G133" s="7" t="str">
        <f t="shared" si="151"/>
        <v>3Q 2024</v>
      </c>
      <c r="H133" s="7" t="str">
        <f t="shared" si="151"/>
        <v>4Q 2024</v>
      </c>
      <c r="I133" s="7" t="str">
        <f t="shared" si="151"/>
        <v>1Q 2025</v>
      </c>
      <c r="J133" s="7" t="str">
        <f t="shared" si="151"/>
        <v>2Q 2025</v>
      </c>
      <c r="K133" s="7" t="str">
        <f t="shared" si="151"/>
        <v>3Q 2025</v>
      </c>
      <c r="L133" s="7" t="str">
        <f t="shared" si="151"/>
        <v>4Q 2025</v>
      </c>
      <c r="M133" s="7" t="str">
        <f t="shared" si="151"/>
        <v>1Q 2026</v>
      </c>
      <c r="N133" s="7" t="str">
        <f t="shared" si="151"/>
        <v>2Q 2026</v>
      </c>
      <c r="O133" s="7" t="str">
        <f t="shared" si="151"/>
        <v>3Q 2026</v>
      </c>
      <c r="P133" s="7" t="str">
        <f t="shared" si="151"/>
        <v>4Q 2026</v>
      </c>
      <c r="Q133" s="7" t="str">
        <f t="shared" si="151"/>
        <v>1Q 2027</v>
      </c>
      <c r="R133" s="7" t="str">
        <f t="shared" si="151"/>
        <v>2Q 2027</v>
      </c>
      <c r="S133" s="7" t="str">
        <f t="shared" si="151"/>
        <v>3Q 2027</v>
      </c>
      <c r="T133" s="7" t="str">
        <f t="shared" si="151"/>
        <v>4Q 2027</v>
      </c>
      <c r="U133" s="7" t="str">
        <f t="shared" si="151"/>
        <v>1Q 2028</v>
      </c>
      <c r="V133" s="7" t="str">
        <f t="shared" si="151"/>
        <v>2Q 2028</v>
      </c>
      <c r="W133" s="7" t="str">
        <f t="shared" si="151"/>
        <v>3Q 2028</v>
      </c>
      <c r="X133" s="7" t="str">
        <f t="shared" si="151"/>
        <v>4Q 2028</v>
      </c>
    </row>
    <row r="134" spans="1:24" ht="15" thickTop="1" x14ac:dyDescent="0.3"/>
    <row r="135" spans="1:24" x14ac:dyDescent="0.3">
      <c r="B135" t="s">
        <v>89</v>
      </c>
    </row>
    <row r="136" spans="1:24" x14ac:dyDescent="0.3">
      <c r="A136" t="s">
        <v>86</v>
      </c>
      <c r="B136" s="38">
        <f>+SUM(E136:X136)</f>
        <v>400000</v>
      </c>
      <c r="C136" t="str">
        <f>+Currency</f>
        <v>Rub '000'</v>
      </c>
      <c r="E136" s="41">
        <v>250000</v>
      </c>
      <c r="F136" s="41">
        <v>150000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 x14ac:dyDescent="0.3">
      <c r="A137" t="s">
        <v>87</v>
      </c>
      <c r="B137" s="38">
        <f>+SUM(E137:X137)</f>
        <v>600000</v>
      </c>
      <c r="C137" t="str">
        <f>+Currency</f>
        <v>Rub '000'</v>
      </c>
      <c r="E137" s="41">
        <v>200000</v>
      </c>
      <c r="F137" s="41">
        <v>400000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3">
      <c r="A138" t="s">
        <v>88</v>
      </c>
      <c r="B138" s="38">
        <f>+SUM(E138:X138)</f>
        <v>80000</v>
      </c>
      <c r="C138" t="str">
        <f>+Currency</f>
        <v>Rub '000'</v>
      </c>
      <c r="E138" s="41"/>
      <c r="F138" s="41">
        <v>80000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</row>
    <row r="140" spans="1:24" x14ac:dyDescent="0.3">
      <c r="A140" t="s">
        <v>90</v>
      </c>
      <c r="C140" t="str">
        <f>+Currency</f>
        <v>Rub '000'</v>
      </c>
      <c r="E140" s="38">
        <f t="shared" ref="E140:X140" si="152">+SUM(E136:E138)</f>
        <v>450000</v>
      </c>
      <c r="F140" s="38">
        <f t="shared" si="152"/>
        <v>630000</v>
      </c>
      <c r="G140" s="38">
        <f t="shared" si="152"/>
        <v>0</v>
      </c>
      <c r="H140" s="38">
        <f t="shared" si="152"/>
        <v>0</v>
      </c>
      <c r="I140" s="38">
        <f t="shared" si="152"/>
        <v>0</v>
      </c>
      <c r="J140" s="38">
        <f t="shared" si="152"/>
        <v>0</v>
      </c>
      <c r="K140" s="38">
        <f t="shared" si="152"/>
        <v>0</v>
      </c>
      <c r="L140" s="38">
        <f t="shared" si="152"/>
        <v>0</v>
      </c>
      <c r="M140" s="38">
        <f t="shared" si="152"/>
        <v>0</v>
      </c>
      <c r="N140" s="38">
        <f t="shared" si="152"/>
        <v>0</v>
      </c>
      <c r="O140" s="38">
        <f t="shared" si="152"/>
        <v>0</v>
      </c>
      <c r="P140" s="38">
        <f t="shared" si="152"/>
        <v>0</v>
      </c>
      <c r="Q140" s="38">
        <f t="shared" si="152"/>
        <v>0</v>
      </c>
      <c r="R140" s="38">
        <f t="shared" si="152"/>
        <v>0</v>
      </c>
      <c r="S140" s="38">
        <f t="shared" si="152"/>
        <v>0</v>
      </c>
      <c r="T140" s="38">
        <f t="shared" si="152"/>
        <v>0</v>
      </c>
      <c r="U140" s="38">
        <f t="shared" si="152"/>
        <v>0</v>
      </c>
      <c r="V140" s="38">
        <f t="shared" si="152"/>
        <v>0</v>
      </c>
      <c r="W140" s="38">
        <f t="shared" si="152"/>
        <v>0</v>
      </c>
      <c r="X140" s="38">
        <f t="shared" si="152"/>
        <v>0</v>
      </c>
    </row>
    <row r="141" spans="1:24" x14ac:dyDescent="0.3">
      <c r="A141" t="s">
        <v>91</v>
      </c>
      <c r="B141" s="1">
        <v>3</v>
      </c>
    </row>
    <row r="142" spans="1:24" x14ac:dyDescent="0.3">
      <c r="A142" t="s">
        <v>92</v>
      </c>
      <c r="C142" t="str">
        <f>+Currency</f>
        <v>Rub '000'</v>
      </c>
      <c r="E142" s="38">
        <f t="shared" ref="E142:X142" si="153">+IF(E1&lt;$B141,D142+E140,0)</f>
        <v>450000</v>
      </c>
      <c r="F142" s="38">
        <f t="shared" si="153"/>
        <v>1080000</v>
      </c>
      <c r="G142" s="38">
        <f t="shared" si="153"/>
        <v>0</v>
      </c>
      <c r="H142" s="38">
        <f t="shared" si="153"/>
        <v>0</v>
      </c>
      <c r="I142" s="38">
        <f t="shared" si="153"/>
        <v>0</v>
      </c>
      <c r="J142" s="38">
        <f t="shared" si="153"/>
        <v>0</v>
      </c>
      <c r="K142" s="38">
        <f t="shared" si="153"/>
        <v>0</v>
      </c>
      <c r="L142" s="38">
        <f t="shared" si="153"/>
        <v>0</v>
      </c>
      <c r="M142" s="38">
        <f t="shared" si="153"/>
        <v>0</v>
      </c>
      <c r="N142" s="38">
        <f t="shared" si="153"/>
        <v>0</v>
      </c>
      <c r="O142" s="38">
        <f t="shared" si="153"/>
        <v>0</v>
      </c>
      <c r="P142" s="38">
        <f t="shared" si="153"/>
        <v>0</v>
      </c>
      <c r="Q142" s="38">
        <f t="shared" si="153"/>
        <v>0</v>
      </c>
      <c r="R142" s="38">
        <f t="shared" si="153"/>
        <v>0</v>
      </c>
      <c r="S142" s="38">
        <f t="shared" si="153"/>
        <v>0</v>
      </c>
      <c r="T142" s="38">
        <f t="shared" si="153"/>
        <v>0</v>
      </c>
      <c r="U142" s="38">
        <f t="shared" si="153"/>
        <v>0</v>
      </c>
      <c r="V142" s="38">
        <f t="shared" si="153"/>
        <v>0</v>
      </c>
      <c r="W142" s="38">
        <f t="shared" si="153"/>
        <v>0</v>
      </c>
      <c r="X142" s="38">
        <f t="shared" si="153"/>
        <v>0</v>
      </c>
    </row>
    <row r="143" spans="1:24" x14ac:dyDescent="0.3">
      <c r="A143" t="s">
        <v>93</v>
      </c>
      <c r="C143" t="str">
        <f>+Currency</f>
        <v>Rub '000'</v>
      </c>
      <c r="E143" s="38">
        <f>+IF(E1&lt;$B141,0,D142+D143+E140)</f>
        <v>0</v>
      </c>
      <c r="F143" s="38">
        <f t="shared" ref="F143:X143" si="154">+IF(F1&lt;$B141,0,E142+E143+F140)</f>
        <v>0</v>
      </c>
      <c r="G143" s="38">
        <f t="shared" si="154"/>
        <v>1080000</v>
      </c>
      <c r="H143" s="38">
        <f t="shared" si="154"/>
        <v>1080000</v>
      </c>
      <c r="I143" s="38">
        <f t="shared" si="154"/>
        <v>1080000</v>
      </c>
      <c r="J143" s="38">
        <f t="shared" si="154"/>
        <v>1080000</v>
      </c>
      <c r="K143" s="38">
        <f t="shared" si="154"/>
        <v>1080000</v>
      </c>
      <c r="L143" s="38">
        <f t="shared" si="154"/>
        <v>1080000</v>
      </c>
      <c r="M143" s="38">
        <f t="shared" si="154"/>
        <v>1080000</v>
      </c>
      <c r="N143" s="38">
        <f t="shared" si="154"/>
        <v>1080000</v>
      </c>
      <c r="O143" s="38">
        <f t="shared" si="154"/>
        <v>1080000</v>
      </c>
      <c r="P143" s="38">
        <f t="shared" si="154"/>
        <v>1080000</v>
      </c>
      <c r="Q143" s="38">
        <f t="shared" si="154"/>
        <v>1080000</v>
      </c>
      <c r="R143" s="38">
        <f t="shared" si="154"/>
        <v>1080000</v>
      </c>
      <c r="S143" s="38">
        <f t="shared" si="154"/>
        <v>1080000</v>
      </c>
      <c r="T143" s="38">
        <f t="shared" si="154"/>
        <v>1080000</v>
      </c>
      <c r="U143" s="38">
        <f t="shared" si="154"/>
        <v>1080000</v>
      </c>
      <c r="V143" s="38">
        <f t="shared" si="154"/>
        <v>1080000</v>
      </c>
      <c r="W143" s="38">
        <f t="shared" si="154"/>
        <v>1080000</v>
      </c>
      <c r="X143" s="38">
        <f t="shared" si="154"/>
        <v>1080000</v>
      </c>
    </row>
    <row r="144" spans="1:24" x14ac:dyDescent="0.3">
      <c r="A144" t="s">
        <v>94</v>
      </c>
      <c r="B144" s="1">
        <v>10</v>
      </c>
      <c r="C144" t="str">
        <f>+Currency</f>
        <v>Rub '000'</v>
      </c>
      <c r="E144" s="38">
        <f>+MIN(E143/$B$144/12*Macro!E5,E143-D145)</f>
        <v>0</v>
      </c>
      <c r="F144" s="38">
        <f>+MIN(F143/$B$144/12*Macro!F5,F143-E145)</f>
        <v>0</v>
      </c>
      <c r="G144" s="38">
        <f>+MIN(G143/$B$144/12*Macro!G5,G143-F145)</f>
        <v>27000</v>
      </c>
      <c r="H144" s="38">
        <f>+MIN(H143/$B$144/12*Macro!H5,H143-G145)</f>
        <v>27000</v>
      </c>
      <c r="I144" s="38">
        <f>+MIN(I143/$B$144/12*Macro!I5,I143-H145)</f>
        <v>27000</v>
      </c>
      <c r="J144" s="38">
        <f>+MIN(J143/$B$144/12*Macro!J5,J143-I145)</f>
        <v>27000</v>
      </c>
      <c r="K144" s="38">
        <f>+MIN(K143/$B$144/12*Macro!K5,K143-J145)</f>
        <v>27000</v>
      </c>
      <c r="L144" s="38">
        <f>+MIN(L143/$B$144/12*Macro!L5,L143-K145)</f>
        <v>27000</v>
      </c>
      <c r="M144" s="38">
        <f>+MIN(M143/$B$144/12*Macro!M5,M143-L145)</f>
        <v>27000</v>
      </c>
      <c r="N144" s="38">
        <f>+MIN(N143/$B$144/12*Macro!N5,N143-M145)</f>
        <v>27000</v>
      </c>
      <c r="O144" s="38">
        <f>+MIN(O143/$B$144/12*Macro!O5,O143-N145)</f>
        <v>27000</v>
      </c>
      <c r="P144" s="38">
        <f>+MIN(P143/$B$144/12*Macro!P5,P143-O145)</f>
        <v>27000</v>
      </c>
      <c r="Q144" s="38">
        <f>+MIN(Q143/$B$144/12*Macro!Q5,Q143-P145)</f>
        <v>27000</v>
      </c>
      <c r="R144" s="38">
        <f>+MIN(R143/$B$144/12*Macro!R5,R143-Q145)</f>
        <v>27000</v>
      </c>
      <c r="S144" s="38">
        <f>+MIN(S143/$B$144/12*Macro!S5,S143-R145)</f>
        <v>27000</v>
      </c>
      <c r="T144" s="38">
        <f>+MIN(T143/$B$144/12*Macro!T5,T143-S145)</f>
        <v>27000</v>
      </c>
      <c r="U144" s="38">
        <f>+MIN(U143/$B$144/12*Macro!U5,U143-T145)</f>
        <v>27000</v>
      </c>
      <c r="V144" s="38">
        <f>+MIN(V143/$B$144/12*Macro!V5,V143-U145)</f>
        <v>27000</v>
      </c>
      <c r="W144" s="38">
        <f>+MIN(W143/$B$144/12*Macro!W5,W143-V145)</f>
        <v>27000</v>
      </c>
      <c r="X144" s="38">
        <f>+MIN(X143/$B$144/12*Macro!X5,X143-W145)</f>
        <v>27000</v>
      </c>
    </row>
    <row r="145" spans="1:24" x14ac:dyDescent="0.3">
      <c r="A145" t="s">
        <v>95</v>
      </c>
      <c r="C145" t="str">
        <f>+Currency</f>
        <v>Rub '000'</v>
      </c>
      <c r="E145" s="38">
        <f>+D145+E144</f>
        <v>0</v>
      </c>
      <c r="F145" s="38">
        <f t="shared" ref="F145:X145" si="155">+E145+F144</f>
        <v>0</v>
      </c>
      <c r="G145" s="38">
        <f t="shared" si="155"/>
        <v>27000</v>
      </c>
      <c r="H145" s="38">
        <f t="shared" si="155"/>
        <v>54000</v>
      </c>
      <c r="I145" s="38">
        <f t="shared" si="155"/>
        <v>81000</v>
      </c>
      <c r="J145" s="38">
        <f t="shared" si="155"/>
        <v>108000</v>
      </c>
      <c r="K145" s="38">
        <f t="shared" si="155"/>
        <v>135000</v>
      </c>
      <c r="L145" s="38">
        <f t="shared" si="155"/>
        <v>162000</v>
      </c>
      <c r="M145" s="38">
        <f t="shared" si="155"/>
        <v>189000</v>
      </c>
      <c r="N145" s="38">
        <f t="shared" si="155"/>
        <v>216000</v>
      </c>
      <c r="O145" s="38">
        <f t="shared" si="155"/>
        <v>243000</v>
      </c>
      <c r="P145" s="38">
        <f t="shared" si="155"/>
        <v>270000</v>
      </c>
      <c r="Q145" s="38">
        <f t="shared" si="155"/>
        <v>297000</v>
      </c>
      <c r="R145" s="38">
        <f t="shared" si="155"/>
        <v>324000</v>
      </c>
      <c r="S145" s="38">
        <f t="shared" si="155"/>
        <v>351000</v>
      </c>
      <c r="T145" s="38">
        <f t="shared" si="155"/>
        <v>378000</v>
      </c>
      <c r="U145" s="38">
        <f t="shared" si="155"/>
        <v>405000</v>
      </c>
      <c r="V145" s="38">
        <f t="shared" si="155"/>
        <v>432000</v>
      </c>
      <c r="W145" s="38">
        <f t="shared" si="155"/>
        <v>459000</v>
      </c>
      <c r="X145" s="38">
        <f t="shared" si="155"/>
        <v>486000</v>
      </c>
    </row>
    <row r="146" spans="1:24" x14ac:dyDescent="0.3">
      <c r="A146" t="s">
        <v>96</v>
      </c>
      <c r="C146" t="str">
        <f>+Currency</f>
        <v>Rub '000'</v>
      </c>
      <c r="E146" s="38">
        <f>+E143-E145</f>
        <v>0</v>
      </c>
      <c r="F146" s="38">
        <f t="shared" ref="F146:X146" si="156">+F143-F145</f>
        <v>0</v>
      </c>
      <c r="G146" s="38">
        <f t="shared" si="156"/>
        <v>1053000</v>
      </c>
      <c r="H146" s="38">
        <f t="shared" si="156"/>
        <v>1026000</v>
      </c>
      <c r="I146" s="38">
        <f t="shared" si="156"/>
        <v>999000</v>
      </c>
      <c r="J146" s="38">
        <f t="shared" si="156"/>
        <v>972000</v>
      </c>
      <c r="K146" s="38">
        <f t="shared" si="156"/>
        <v>945000</v>
      </c>
      <c r="L146" s="38">
        <f t="shared" si="156"/>
        <v>918000</v>
      </c>
      <c r="M146" s="38">
        <f t="shared" si="156"/>
        <v>891000</v>
      </c>
      <c r="N146" s="38">
        <f t="shared" si="156"/>
        <v>864000</v>
      </c>
      <c r="O146" s="38">
        <f t="shared" si="156"/>
        <v>837000</v>
      </c>
      <c r="P146" s="38">
        <f t="shared" si="156"/>
        <v>810000</v>
      </c>
      <c r="Q146" s="38">
        <f t="shared" si="156"/>
        <v>783000</v>
      </c>
      <c r="R146" s="38">
        <f t="shared" si="156"/>
        <v>756000</v>
      </c>
      <c r="S146" s="38">
        <f t="shared" si="156"/>
        <v>729000</v>
      </c>
      <c r="T146" s="38">
        <f t="shared" si="156"/>
        <v>702000</v>
      </c>
      <c r="U146" s="38">
        <f t="shared" si="156"/>
        <v>675000</v>
      </c>
      <c r="V146" s="38">
        <f t="shared" si="156"/>
        <v>648000</v>
      </c>
      <c r="W146" s="38">
        <f t="shared" si="156"/>
        <v>621000</v>
      </c>
      <c r="X146" s="38">
        <f t="shared" si="156"/>
        <v>594000</v>
      </c>
    </row>
    <row r="149" spans="1:24" ht="15" thickBot="1" x14ac:dyDescent="0.35">
      <c r="A149" s="6" t="s">
        <v>103</v>
      </c>
      <c r="B149" s="6"/>
      <c r="C149" s="6"/>
      <c r="D149" s="6"/>
      <c r="E149" s="7" t="str">
        <f t="shared" ref="E149:X149" si="157">+E$2</f>
        <v>1Q 2024</v>
      </c>
      <c r="F149" s="7" t="str">
        <f t="shared" si="157"/>
        <v>2Q 2024</v>
      </c>
      <c r="G149" s="7" t="str">
        <f t="shared" si="157"/>
        <v>3Q 2024</v>
      </c>
      <c r="H149" s="7" t="str">
        <f t="shared" si="157"/>
        <v>4Q 2024</v>
      </c>
      <c r="I149" s="7" t="str">
        <f t="shared" si="157"/>
        <v>1Q 2025</v>
      </c>
      <c r="J149" s="7" t="str">
        <f t="shared" si="157"/>
        <v>2Q 2025</v>
      </c>
      <c r="K149" s="7" t="str">
        <f t="shared" si="157"/>
        <v>3Q 2025</v>
      </c>
      <c r="L149" s="7" t="str">
        <f t="shared" si="157"/>
        <v>4Q 2025</v>
      </c>
      <c r="M149" s="7" t="str">
        <f t="shared" si="157"/>
        <v>1Q 2026</v>
      </c>
      <c r="N149" s="7" t="str">
        <f t="shared" si="157"/>
        <v>2Q 2026</v>
      </c>
      <c r="O149" s="7" t="str">
        <f t="shared" si="157"/>
        <v>3Q 2026</v>
      </c>
      <c r="P149" s="7" t="str">
        <f t="shared" si="157"/>
        <v>4Q 2026</v>
      </c>
      <c r="Q149" s="7" t="str">
        <f t="shared" si="157"/>
        <v>1Q 2027</v>
      </c>
      <c r="R149" s="7" t="str">
        <f t="shared" si="157"/>
        <v>2Q 2027</v>
      </c>
      <c r="S149" s="7" t="str">
        <f t="shared" si="157"/>
        <v>3Q 2027</v>
      </c>
      <c r="T149" s="7" t="str">
        <f t="shared" si="157"/>
        <v>4Q 2027</v>
      </c>
      <c r="U149" s="7" t="str">
        <f t="shared" si="157"/>
        <v>1Q 2028</v>
      </c>
      <c r="V149" s="7" t="str">
        <f t="shared" si="157"/>
        <v>2Q 2028</v>
      </c>
      <c r="W149" s="7" t="str">
        <f t="shared" si="157"/>
        <v>3Q 2028</v>
      </c>
      <c r="X149" s="7" t="str">
        <f t="shared" si="157"/>
        <v>4Q 2028</v>
      </c>
    </row>
    <row r="150" spans="1:24" ht="15" thickTop="1" x14ac:dyDescent="0.3"/>
    <row r="151" spans="1:24" x14ac:dyDescent="0.3">
      <c r="B151" s="11" t="s">
        <v>108</v>
      </c>
    </row>
    <row r="152" spans="1:24" x14ac:dyDescent="0.3">
      <c r="A152" t="s">
        <v>104</v>
      </c>
      <c r="B152" s="13">
        <v>15</v>
      </c>
      <c r="C152" t="str">
        <f>+Currency</f>
        <v>Rub '000'</v>
      </c>
      <c r="E152" s="22">
        <f>+$B152/30/Macro!E$5*E65</f>
        <v>0</v>
      </c>
      <c r="F152" s="22">
        <f>+$B152/30/Macro!F$5*F65</f>
        <v>0</v>
      </c>
      <c r="G152" s="22">
        <f>+$B152/30/Macro!G$5*G65</f>
        <v>36753.732653976782</v>
      </c>
      <c r="H152" s="22">
        <f>+$B152/30/Macro!H$5*H65</f>
        <v>37115.882124008531</v>
      </c>
      <c r="I152" s="22">
        <f>+$B152/30/Macro!I$5*I65</f>
        <v>37481.599999999977</v>
      </c>
      <c r="J152" s="22">
        <f>+$B152/30/Macro!J$5*J65</f>
        <v>37850.921442905819</v>
      </c>
      <c r="K152" s="22">
        <f>+$B152/30/Macro!K$5*K65</f>
        <v>38223.881960135855</v>
      </c>
      <c r="L152" s="22">
        <f>+$B152/30/Macro!L$5*L65</f>
        <v>38600.517408968859</v>
      </c>
      <c r="M152" s="22">
        <f>+$B152/30/Macro!M$5*M65</f>
        <v>38980.86399999998</v>
      </c>
      <c r="N152" s="22">
        <f>+$B152/30/Macro!N$5*N65</f>
        <v>39364.958300622042</v>
      </c>
      <c r="O152" s="22">
        <f>+$B152/30/Macro!O$5*O65</f>
        <v>39752.83723854128</v>
      </c>
      <c r="P152" s="22">
        <f>+$B152/30/Macro!P$5*P65</f>
        <v>40144.538105327614</v>
      </c>
      <c r="Q152" s="22">
        <f>+$B152/30/Macro!Q$5*Q65</f>
        <v>40540.098559999977</v>
      </c>
      <c r="R152" s="22">
        <f>+$B152/30/Macro!R$5*R65</f>
        <v>40939.556632646927</v>
      </c>
      <c r="S152" s="22">
        <f>+$B152/30/Macro!S$5*S65</f>
        <v>41342.950728082928</v>
      </c>
      <c r="T152" s="22">
        <f>+$B152/30/Macro!T$5*T65</f>
        <v>41750.319629540718</v>
      </c>
      <c r="U152" s="22">
        <f>+$B152/30/Macro!U$5*U65</f>
        <v>42161.702502399981</v>
      </c>
      <c r="V152" s="22">
        <f>+$B152/30/Macro!V$5*V65</f>
        <v>42577.138897952798</v>
      </c>
      <c r="W152" s="22">
        <f>+$B152/30/Macro!W$5*W65</f>
        <v>42996.668757206244</v>
      </c>
      <c r="X152" s="22">
        <f>+$B152/30/Macro!X$5*X65</f>
        <v>43420.332414722332</v>
      </c>
    </row>
    <row r="153" spans="1:24" x14ac:dyDescent="0.3">
      <c r="A153" t="s">
        <v>105</v>
      </c>
      <c r="B153" s="13">
        <v>10</v>
      </c>
      <c r="C153" t="str">
        <f>+Currency</f>
        <v>Rub '000'</v>
      </c>
      <c r="E153" s="22">
        <f>+$B153/30/Macro!E$5*(E65+E93+E130)</f>
        <v>0</v>
      </c>
      <c r="F153" s="22">
        <f>+$B153/30/Macro!F$5*(F65+F93+F130)</f>
        <v>0</v>
      </c>
      <c r="G153" s="22">
        <f>+$B153/30/Macro!G$5*(G65+G93+G130)</f>
        <v>38064.180668970126</v>
      </c>
      <c r="H153" s="22">
        <f>+$B153/30/Macro!H$5*(H65+H93+H130)</f>
        <v>38439.242516054896</v>
      </c>
      <c r="I153" s="22">
        <f>+$B153/30/Macro!I$5*(I65+I93+I130)</f>
        <v>38817.999999999978</v>
      </c>
      <c r="J153" s="22">
        <f>+$B153/30/Macro!J$5*(J65+J93+J130)</f>
        <v>39200.489535417859</v>
      </c>
      <c r="K153" s="22">
        <f>+$B153/30/Macro!K$5*(K65+K93+K130)</f>
        <v>39586.747895728928</v>
      </c>
      <c r="L153" s="22">
        <f>+$B153/30/Macro!L$5*(L65+L93+L130)</f>
        <v>39976.812216697079</v>
      </c>
      <c r="M153" s="22">
        <f>+$B153/30/Macro!M$5*(M65+M93+M130)</f>
        <v>40370.719999999979</v>
      </c>
      <c r="N153" s="22">
        <f>+$B153/30/Macro!N$5*(N65+N93+N130)</f>
        <v>40768.509116834561</v>
      </c>
      <c r="O153" s="22">
        <f>+$B153/30/Macro!O$5*(O65+O93+O130)</f>
        <v>41170.217811558075</v>
      </c>
      <c r="P153" s="22">
        <f>+$B153/30/Macro!P$5*(P65+P93+P130)</f>
        <v>41575.884705364959</v>
      </c>
      <c r="Q153" s="22">
        <f>+$B153/30/Macro!Q$5*(Q65+Q93+Q130)</f>
        <v>41985.548799999975</v>
      </c>
      <c r="R153" s="22">
        <f>+$B153/30/Macro!R$5*(R65+R93+R130)</f>
        <v>42399.249481507941</v>
      </c>
      <c r="S153" s="22">
        <f>+$B153/30/Macro!S$5*(S65+S93+S130)</f>
        <v>42817.026524020403</v>
      </c>
      <c r="T153" s="22">
        <f>+$B153/30/Macro!T$5*(T65+T93+T130)</f>
        <v>43238.92009357956</v>
      </c>
      <c r="U153" s="22">
        <f>+$B153/30/Macro!U$5*(U65+U93+U130)</f>
        <v>43664.970751999979</v>
      </c>
      <c r="V153" s="22">
        <f>+$B153/30/Macro!V$5*(V65+V93+V130)</f>
        <v>44095.219460768261</v>
      </c>
      <c r="W153" s="22">
        <f>+$B153/30/Macro!W$5*(W65+W93+W130)</f>
        <v>44529.70758498121</v>
      </c>
      <c r="X153" s="22">
        <f>+$B153/30/Macro!X$5*(X65+X93+X130)</f>
        <v>44968.476897322726</v>
      </c>
    </row>
    <row r="154" spans="1:24" x14ac:dyDescent="0.3">
      <c r="A154" t="s">
        <v>107</v>
      </c>
      <c r="B154" s="13">
        <v>30</v>
      </c>
      <c r="C154" t="str">
        <f>+Currency</f>
        <v>Rub '000'</v>
      </c>
      <c r="E154" s="22">
        <f>+$B154/30/Macro!E$5*E20</f>
        <v>0</v>
      </c>
      <c r="F154" s="22">
        <f>+$B154/30/Macro!F$5*F20</f>
        <v>0</v>
      </c>
      <c r="G154" s="22">
        <f>+$B154/30/Macro!G$5*G20</f>
        <v>149571.23906538833</v>
      </c>
      <c r="H154" s="22">
        <f>+$B154/30/Macro!H$5*H20</f>
        <v>151045.02529193257</v>
      </c>
      <c r="I154" s="22">
        <f>+$B154/30/Macro!I$5*I20</f>
        <v>152533.33333333326</v>
      </c>
      <c r="J154" s="22">
        <f>+$B154/30/Macro!J$5*J20</f>
        <v>154036.30627893598</v>
      </c>
      <c r="K154" s="22">
        <f>+$B154/30/Macro!K$5*K20</f>
        <v>155554.08862800384</v>
      </c>
      <c r="L154" s="22">
        <f>+$B154/30/Macro!L$5*L20</f>
        <v>157086.82630360988</v>
      </c>
      <c r="M154" s="22">
        <f>+$B154/30/Macro!M$5*M20</f>
        <v>158634.66666666657</v>
      </c>
      <c r="N154" s="22">
        <f>+$B154/30/Macro!N$5*N20</f>
        <v>160197.75853009342</v>
      </c>
      <c r="O154" s="22">
        <f>+$B154/30/Macro!O$5*O20</f>
        <v>161776.25217312397</v>
      </c>
      <c r="P154" s="22">
        <f>+$B154/30/Macro!P$5*P20</f>
        <v>163370.29935575428</v>
      </c>
      <c r="Q154" s="22">
        <f>+$B154/30/Macro!Q$5*Q20</f>
        <v>164980.05333333323</v>
      </c>
      <c r="R154" s="22">
        <f>+$B154/30/Macro!R$5*R20</f>
        <v>166605.66887129715</v>
      </c>
      <c r="S154" s="22">
        <f>+$B154/30/Macro!S$5*S20</f>
        <v>168247.30226004892</v>
      </c>
      <c r="T154" s="22">
        <f>+$B154/30/Macro!T$5*T20</f>
        <v>169905.11132998441</v>
      </c>
      <c r="U154" s="22">
        <f>+$B154/30/Macro!U$5*U20</f>
        <v>171579.25546666657</v>
      </c>
      <c r="V154" s="22">
        <f>+$B154/30/Macro!V$5*V20</f>
        <v>173269.89562614897</v>
      </c>
      <c r="W154" s="22">
        <f>+$B154/30/Macro!W$5*W20</f>
        <v>174977.19435045082</v>
      </c>
      <c r="X154" s="22">
        <f>+$B154/30/Macro!X$5*X20</f>
        <v>176701.31578318373</v>
      </c>
    </row>
    <row r="155" spans="1:24" x14ac:dyDescent="0.3">
      <c r="B155" s="11"/>
    </row>
    <row r="156" spans="1:24" x14ac:dyDescent="0.3">
      <c r="A156" t="s">
        <v>106</v>
      </c>
      <c r="B156" s="13">
        <v>21</v>
      </c>
      <c r="C156" t="str">
        <f>+Currency</f>
        <v>Rub '000'</v>
      </c>
      <c r="E156" s="22">
        <f>+$B156/30/Macro!E$5*(E65+E93)</f>
        <v>0</v>
      </c>
      <c r="F156" s="22">
        <f>+$B156/30/Macro!F$5*(F65+F93)</f>
        <v>0</v>
      </c>
      <c r="G156" s="22">
        <f>+$B156/30/Macro!G$5*(G65+G93)</f>
        <v>70979.371433114255</v>
      </c>
      <c r="H156" s="22">
        <f>+$B156/30/Macro!H$5*(H65+H93)</f>
        <v>71678.760036435007</v>
      </c>
      <c r="I156" s="22">
        <f>+$B156/30/Macro!I$5*(I65+I93)</f>
        <v>72385.039999999964</v>
      </c>
      <c r="J156" s="22">
        <f>+$B156/30/Macro!J$5*(J65+J93)</f>
        <v>73098.279227183331</v>
      </c>
      <c r="K156" s="22">
        <f>+$B156/30/Macro!K$5*(K65+K93)</f>
        <v>73818.546290438826</v>
      </c>
      <c r="L156" s="22">
        <f>+$B156/30/Macro!L$5*(L65+L93)</f>
        <v>74545.91043789238</v>
      </c>
      <c r="M156" s="22">
        <f>+$B156/30/Macro!M$5*(M65+M93)</f>
        <v>75280.441599999962</v>
      </c>
      <c r="N156" s="22">
        <f>+$B156/30/Macro!N$5*(N65+N93)</f>
        <v>76022.210396270661</v>
      </c>
      <c r="O156" s="22">
        <f>+$B156/30/Macro!O$5*(O65+O93)</f>
        <v>76771.288142056364</v>
      </c>
      <c r="P156" s="22">
        <f>+$B156/30/Macro!P$5*(P65+P93)</f>
        <v>77527.74685540807</v>
      </c>
      <c r="Q156" s="22">
        <f>+$B156/30/Macro!Q$5*(Q65+Q93)</f>
        <v>78291.659263999944</v>
      </c>
      <c r="R156" s="22">
        <f>+$B156/30/Macro!R$5*(R65+R93)</f>
        <v>79063.098812121476</v>
      </c>
      <c r="S156" s="22">
        <f>+$B156/30/Macro!S$5*(S65+S93)</f>
        <v>79842.139667738607</v>
      </c>
      <c r="T156" s="22">
        <f>+$B156/30/Macro!T$5*(T65+T93)</f>
        <v>80628.8567296244</v>
      </c>
      <c r="U156" s="22">
        <f>+$B156/30/Macro!U$5*(U65+U93)</f>
        <v>81423.325634559966</v>
      </c>
      <c r="V156" s="22">
        <f>+$B156/30/Macro!V$5*(V65+V93)</f>
        <v>82225.622764606334</v>
      </c>
      <c r="W156" s="22">
        <f>+$B156/30/Macro!W$5*(W65+W93)</f>
        <v>83035.825254448151</v>
      </c>
      <c r="X156" s="22">
        <f>+$B156/30/Macro!X$5*(X65+X93)</f>
        <v>83854.010998809346</v>
      </c>
    </row>
    <row r="158" spans="1:24" x14ac:dyDescent="0.3">
      <c r="A158" t="s">
        <v>109</v>
      </c>
      <c r="C158" t="str">
        <f>+Currency</f>
        <v>Rub '000'</v>
      </c>
      <c r="E158" s="22">
        <f>+SUM(E152:E154)-E156</f>
        <v>0</v>
      </c>
      <c r="F158" s="22">
        <f t="shared" ref="F158:X158" si="158">+SUM(F152:F154)-F156</f>
        <v>0</v>
      </c>
      <c r="G158" s="22">
        <f t="shared" si="158"/>
        <v>153409.78095522098</v>
      </c>
      <c r="H158" s="22">
        <f t="shared" si="158"/>
        <v>154921.38989556101</v>
      </c>
      <c r="I158" s="22">
        <f t="shared" si="158"/>
        <v>156447.89333333325</v>
      </c>
      <c r="J158" s="22">
        <f t="shared" si="158"/>
        <v>157989.43803007633</v>
      </c>
      <c r="K158" s="22">
        <f t="shared" si="158"/>
        <v>159546.17219342981</v>
      </c>
      <c r="L158" s="22">
        <f t="shared" si="158"/>
        <v>161118.24549138342</v>
      </c>
      <c r="M158" s="22">
        <f t="shared" si="158"/>
        <v>162705.80906666658</v>
      </c>
      <c r="N158" s="22">
        <f t="shared" si="158"/>
        <v>164309.01555127936</v>
      </c>
      <c r="O158" s="22">
        <f t="shared" si="158"/>
        <v>165928.01908116695</v>
      </c>
      <c r="P158" s="22">
        <f t="shared" si="158"/>
        <v>167562.97531103878</v>
      </c>
      <c r="Q158" s="22">
        <f t="shared" si="158"/>
        <v>169214.04142933321</v>
      </c>
      <c r="R158" s="22">
        <f t="shared" si="158"/>
        <v>170881.37617333053</v>
      </c>
      <c r="S158" s="22">
        <f t="shared" si="158"/>
        <v>172565.13984441364</v>
      </c>
      <c r="T158" s="22">
        <f t="shared" si="158"/>
        <v>174265.49432348029</v>
      </c>
      <c r="U158" s="22">
        <f t="shared" si="158"/>
        <v>175982.60308650657</v>
      </c>
      <c r="V158" s="22">
        <f t="shared" si="158"/>
        <v>177716.63122026372</v>
      </c>
      <c r="W158" s="22">
        <f t="shared" si="158"/>
        <v>179467.74543819012</v>
      </c>
      <c r="X158" s="22">
        <f t="shared" si="158"/>
        <v>181236.11409641942</v>
      </c>
    </row>
    <row r="159" spans="1:24" x14ac:dyDescent="0.3">
      <c r="A159" t="s">
        <v>110</v>
      </c>
      <c r="C159" t="str">
        <f>+Currency</f>
        <v>Rub '000'</v>
      </c>
      <c r="E159" s="22">
        <f>+E158-D158</f>
        <v>0</v>
      </c>
      <c r="F159" s="22">
        <f t="shared" ref="F159:X159" si="159">+F158-E158</f>
        <v>0</v>
      </c>
      <c r="G159" s="22">
        <f t="shared" si="159"/>
        <v>153409.78095522098</v>
      </c>
      <c r="H159" s="22">
        <f t="shared" si="159"/>
        <v>1511.6089403400256</v>
      </c>
      <c r="I159" s="22">
        <f t="shared" si="159"/>
        <v>1526.5034377722477</v>
      </c>
      <c r="J159" s="22">
        <f t="shared" si="159"/>
        <v>1541.5446967430762</v>
      </c>
      <c r="K159" s="22">
        <f t="shared" si="159"/>
        <v>1556.7341633534816</v>
      </c>
      <c r="L159" s="22">
        <f t="shared" si="159"/>
        <v>1572.0732979536115</v>
      </c>
      <c r="M159" s="22">
        <f t="shared" si="159"/>
        <v>1587.5635752831586</v>
      </c>
      <c r="N159" s="22">
        <f t="shared" si="159"/>
        <v>1603.206484612776</v>
      </c>
      <c r="O159" s="22">
        <f t="shared" si="159"/>
        <v>1619.0035298875882</v>
      </c>
      <c r="P159" s="22">
        <f t="shared" si="159"/>
        <v>1634.9562298718374</v>
      </c>
      <c r="Q159" s="22">
        <f t="shared" si="159"/>
        <v>1651.0661182944314</v>
      </c>
      <c r="R159" s="22">
        <f t="shared" si="159"/>
        <v>1667.3347439973149</v>
      </c>
      <c r="S159" s="22">
        <f t="shared" si="159"/>
        <v>1683.7636710831139</v>
      </c>
      <c r="T159" s="22">
        <f t="shared" si="159"/>
        <v>1700.3544790666492</v>
      </c>
      <c r="U159" s="22">
        <f t="shared" si="159"/>
        <v>1717.1087630262773</v>
      </c>
      <c r="V159" s="22">
        <f t="shared" si="159"/>
        <v>1734.0281337571505</v>
      </c>
      <c r="W159" s="22">
        <f t="shared" si="159"/>
        <v>1751.1142179263989</v>
      </c>
      <c r="X159" s="22">
        <f t="shared" si="159"/>
        <v>1768.3686582293012</v>
      </c>
    </row>
    <row r="162" spans="1:24" ht="15" thickBot="1" x14ac:dyDescent="0.35">
      <c r="A162" s="6" t="s">
        <v>124</v>
      </c>
      <c r="B162" s="6"/>
      <c r="C162" s="6"/>
      <c r="D162" s="6"/>
      <c r="E162" s="7" t="str">
        <f t="shared" ref="E162:X162" si="160">+E$2</f>
        <v>1Q 2024</v>
      </c>
      <c r="F162" s="7" t="str">
        <f t="shared" si="160"/>
        <v>2Q 2024</v>
      </c>
      <c r="G162" s="7" t="str">
        <f t="shared" si="160"/>
        <v>3Q 2024</v>
      </c>
      <c r="H162" s="7" t="str">
        <f t="shared" si="160"/>
        <v>4Q 2024</v>
      </c>
      <c r="I162" s="7" t="str">
        <f t="shared" si="160"/>
        <v>1Q 2025</v>
      </c>
      <c r="J162" s="7" t="str">
        <f t="shared" si="160"/>
        <v>2Q 2025</v>
      </c>
      <c r="K162" s="7" t="str">
        <f t="shared" si="160"/>
        <v>3Q 2025</v>
      </c>
      <c r="L162" s="7" t="str">
        <f t="shared" si="160"/>
        <v>4Q 2025</v>
      </c>
      <c r="M162" s="7" t="str">
        <f t="shared" si="160"/>
        <v>1Q 2026</v>
      </c>
      <c r="N162" s="7" t="str">
        <f t="shared" si="160"/>
        <v>2Q 2026</v>
      </c>
      <c r="O162" s="7" t="str">
        <f t="shared" si="160"/>
        <v>3Q 2026</v>
      </c>
      <c r="P162" s="7" t="str">
        <f t="shared" si="160"/>
        <v>4Q 2026</v>
      </c>
      <c r="Q162" s="7" t="str">
        <f t="shared" si="160"/>
        <v>1Q 2027</v>
      </c>
      <c r="R162" s="7" t="str">
        <f t="shared" si="160"/>
        <v>2Q 2027</v>
      </c>
      <c r="S162" s="7" t="str">
        <f t="shared" si="160"/>
        <v>3Q 2027</v>
      </c>
      <c r="T162" s="7" t="str">
        <f t="shared" si="160"/>
        <v>4Q 2027</v>
      </c>
      <c r="U162" s="7" t="str">
        <f t="shared" si="160"/>
        <v>1Q 2028</v>
      </c>
      <c r="V162" s="7" t="str">
        <f t="shared" si="160"/>
        <v>2Q 2028</v>
      </c>
      <c r="W162" s="7" t="str">
        <f t="shared" si="160"/>
        <v>3Q 2028</v>
      </c>
      <c r="X162" s="7" t="str">
        <f t="shared" si="160"/>
        <v>4Q 2028</v>
      </c>
    </row>
    <row r="163" spans="1:24" ht="15" thickTop="1" x14ac:dyDescent="0.3"/>
    <row r="164" spans="1:24" x14ac:dyDescent="0.3">
      <c r="A164" t="s">
        <v>125</v>
      </c>
      <c r="C164" t="str">
        <f>+Currency</f>
        <v>Rub '000'</v>
      </c>
      <c r="E164" s="38">
        <f>+AVERAGE(D146,E146)</f>
        <v>0</v>
      </c>
      <c r="F164" s="38">
        <f t="shared" ref="F164:X164" si="161">+AVERAGE(E146,F146)</f>
        <v>0</v>
      </c>
      <c r="G164" s="38">
        <f t="shared" si="161"/>
        <v>526500</v>
      </c>
      <c r="H164" s="38">
        <f t="shared" si="161"/>
        <v>1039500</v>
      </c>
      <c r="I164" s="38">
        <f t="shared" si="161"/>
        <v>1012500</v>
      </c>
      <c r="J164" s="38">
        <f t="shared" si="161"/>
        <v>985500</v>
      </c>
      <c r="K164" s="38">
        <f t="shared" si="161"/>
        <v>958500</v>
      </c>
      <c r="L164" s="38">
        <f t="shared" si="161"/>
        <v>931500</v>
      </c>
      <c r="M164" s="38">
        <f t="shared" si="161"/>
        <v>904500</v>
      </c>
      <c r="N164" s="38">
        <f t="shared" si="161"/>
        <v>877500</v>
      </c>
      <c r="O164" s="38">
        <f t="shared" si="161"/>
        <v>850500</v>
      </c>
      <c r="P164" s="38">
        <f t="shared" si="161"/>
        <v>823500</v>
      </c>
      <c r="Q164" s="38">
        <f t="shared" si="161"/>
        <v>796500</v>
      </c>
      <c r="R164" s="38">
        <f t="shared" si="161"/>
        <v>769500</v>
      </c>
      <c r="S164" s="38">
        <f t="shared" si="161"/>
        <v>742500</v>
      </c>
      <c r="T164" s="38">
        <f t="shared" si="161"/>
        <v>715500</v>
      </c>
      <c r="U164" s="38">
        <f t="shared" si="161"/>
        <v>688500</v>
      </c>
      <c r="V164" s="38">
        <f t="shared" si="161"/>
        <v>661500</v>
      </c>
      <c r="W164" s="38">
        <f t="shared" si="161"/>
        <v>634500</v>
      </c>
      <c r="X164" s="38">
        <f t="shared" si="161"/>
        <v>607500</v>
      </c>
    </row>
    <row r="165" spans="1:24" x14ac:dyDescent="0.3">
      <c r="A165" t="s">
        <v>18</v>
      </c>
      <c r="C165" t="s">
        <v>14</v>
      </c>
      <c r="E165" s="43">
        <f>+Macro!E24</f>
        <v>2.1999999999999999E-2</v>
      </c>
      <c r="F165" s="43">
        <f>+Macro!F24</f>
        <v>2.1999999999999999E-2</v>
      </c>
      <c r="G165" s="43">
        <f>+Macro!G24</f>
        <v>2.1999999999999999E-2</v>
      </c>
      <c r="H165" s="43">
        <f>+Macro!H24</f>
        <v>2.1999999999999999E-2</v>
      </c>
      <c r="I165" s="43">
        <f>+Macro!I24</f>
        <v>2.1999999999999999E-2</v>
      </c>
      <c r="J165" s="43">
        <f>+Macro!J24</f>
        <v>2.1999999999999999E-2</v>
      </c>
      <c r="K165" s="43">
        <f>+Macro!K24</f>
        <v>2.1999999999999999E-2</v>
      </c>
      <c r="L165" s="43">
        <f>+Macro!L24</f>
        <v>2.1999999999999999E-2</v>
      </c>
      <c r="M165" s="43">
        <f>+Macro!M24</f>
        <v>2.1999999999999999E-2</v>
      </c>
      <c r="N165" s="43">
        <f>+Macro!N24</f>
        <v>2.1999999999999999E-2</v>
      </c>
      <c r="O165" s="43">
        <f>+Macro!O24</f>
        <v>2.1999999999999999E-2</v>
      </c>
      <c r="P165" s="43">
        <f>+Macro!P24</f>
        <v>2.1999999999999999E-2</v>
      </c>
      <c r="Q165" s="43">
        <f>+Macro!Q24</f>
        <v>2.1999999999999999E-2</v>
      </c>
      <c r="R165" s="43">
        <f>+Macro!R24</f>
        <v>2.1999999999999999E-2</v>
      </c>
      <c r="S165" s="43">
        <f>+Macro!S24</f>
        <v>2.1999999999999999E-2</v>
      </c>
      <c r="T165" s="43">
        <f>+Macro!T24</f>
        <v>2.1999999999999999E-2</v>
      </c>
      <c r="U165" s="43">
        <f>+Macro!U24</f>
        <v>2.1999999999999999E-2</v>
      </c>
      <c r="V165" s="43">
        <f>+Macro!V24</f>
        <v>2.1999999999999999E-2</v>
      </c>
      <c r="W165" s="43">
        <f>+Macro!W24</f>
        <v>2.1999999999999999E-2</v>
      </c>
      <c r="X165" s="43">
        <f>+Macro!X24</f>
        <v>2.1999999999999999E-2</v>
      </c>
    </row>
    <row r="166" spans="1:24" s="16" customFormat="1" x14ac:dyDescent="0.3">
      <c r="A166" s="16" t="s">
        <v>116</v>
      </c>
      <c r="C166" s="16" t="str">
        <f>+Currency</f>
        <v>Rub '000'</v>
      </c>
      <c r="E166" s="35">
        <f>+E164*E165/12*Macro!E5</f>
        <v>0</v>
      </c>
      <c r="F166" s="35">
        <f>+F164*F165/12*Macro!F5</f>
        <v>0</v>
      </c>
      <c r="G166" s="35">
        <f>+G164*G165/12*Macro!G5</f>
        <v>2895.75</v>
      </c>
      <c r="H166" s="35">
        <f>+H164*H165/12*Macro!H5</f>
        <v>5717.25</v>
      </c>
      <c r="I166" s="35">
        <f>+I164*I165/12*Macro!I5</f>
        <v>5568.75</v>
      </c>
      <c r="J166" s="35">
        <f>+J164*J165/12*Macro!J5</f>
        <v>5420.25</v>
      </c>
      <c r="K166" s="35">
        <f>+K164*K165/12*Macro!K5</f>
        <v>5271.75</v>
      </c>
      <c r="L166" s="35">
        <f>+L164*L165/12*Macro!L5</f>
        <v>5123.25</v>
      </c>
      <c r="M166" s="35">
        <f>+M164*M165/12*Macro!M5</f>
        <v>4974.75</v>
      </c>
      <c r="N166" s="35">
        <f>+N164*N165/12*Macro!N5</f>
        <v>4826.25</v>
      </c>
      <c r="O166" s="35">
        <f>+O164*O165/12*Macro!O5</f>
        <v>4677.75</v>
      </c>
      <c r="P166" s="35">
        <f>+P164*P165/12*Macro!P5</f>
        <v>4529.25</v>
      </c>
      <c r="Q166" s="35">
        <f>+Q164*Q165/12*Macro!Q5</f>
        <v>4380.75</v>
      </c>
      <c r="R166" s="35">
        <f>+R164*R165/12*Macro!R5</f>
        <v>4232.25</v>
      </c>
      <c r="S166" s="35">
        <f>+S164*S165/12*Macro!S5</f>
        <v>4083.7499999999991</v>
      </c>
      <c r="T166" s="35">
        <f>+T164*T165/12*Macro!T5</f>
        <v>3935.2499999999991</v>
      </c>
      <c r="U166" s="35">
        <f>+U164*U165/12*Macro!U5</f>
        <v>3786.75</v>
      </c>
      <c r="V166" s="35">
        <f>+V164*V165/12*Macro!V5</f>
        <v>3638.25</v>
      </c>
      <c r="W166" s="35">
        <f>+W164*W165/12*Macro!W5</f>
        <v>3489.75</v>
      </c>
      <c r="X166" s="35">
        <f>+X164*X165/12*Macro!X5</f>
        <v>3341.25</v>
      </c>
    </row>
    <row r="168" spans="1:24" x14ac:dyDescent="0.3">
      <c r="A168" t="s">
        <v>126</v>
      </c>
      <c r="C168" t="str">
        <f>+Currency</f>
        <v>Rub '000'</v>
      </c>
      <c r="E168" s="38">
        <f ca="1">+Reports!E16</f>
        <v>-1282.0512820512829</v>
      </c>
      <c r="F168" s="38">
        <f ca="1">+Reports!F16</f>
        <v>-17468.770545693616</v>
      </c>
      <c r="G168" s="38">
        <f ca="1">+Reports!G16</f>
        <v>56841.918586733074</v>
      </c>
      <c r="H168" s="38">
        <f ca="1">+Reports!H16</f>
        <v>55066.220642602937</v>
      </c>
      <c r="I168" s="38">
        <f ca="1">+Reports!I16</f>
        <v>57268.196682622351</v>
      </c>
      <c r="J168" s="38">
        <f ca="1">+Reports!J16</f>
        <v>59518.00182149696</v>
      </c>
      <c r="K168" s="38">
        <f ca="1">+Reports!K16</f>
        <v>61816.685728603828</v>
      </c>
      <c r="L168" s="38">
        <f ca="1">+Reports!L16</f>
        <v>64165.320947918721</v>
      </c>
      <c r="M168" s="38">
        <f ca="1">+Reports!M16</f>
        <v>66565.003394930449</v>
      </c>
      <c r="N168" s="38">
        <f ca="1">+Reports!N16</f>
        <v>69016.85286433516</v>
      </c>
      <c r="O168" s="38">
        <f ca="1">+Reports!O16</f>
        <v>71522.013548742456</v>
      </c>
      <c r="P168" s="38">
        <f ca="1">+Reports!P16</f>
        <v>74081.654568634825</v>
      </c>
      <c r="Q168" s="38">
        <f ca="1">+Reports!Q16</f>
        <v>76696.970513820954</v>
      </c>
      <c r="R168" s="38">
        <f ca="1">+Reports!R16</f>
        <v>79369.181996635496</v>
      </c>
      <c r="S168" s="38">
        <f ca="1">+Reports!S16</f>
        <v>82099.536217136527</v>
      </c>
      <c r="T168" s="38">
        <f ca="1">+Reports!T16</f>
        <v>84889.307540564201</v>
      </c>
      <c r="U168" s="38">
        <f ca="1">+Reports!U16</f>
        <v>87739.798087323521</v>
      </c>
      <c r="V168" s="38">
        <f ca="1">+Reports!V16</f>
        <v>90652.338335764463</v>
      </c>
      <c r="W168" s="38">
        <f ca="1">+Reports!W16</f>
        <v>93628.287738036277</v>
      </c>
      <c r="X168" s="38">
        <f ca="1">+Reports!X16</f>
        <v>95046.405273646684</v>
      </c>
    </row>
    <row r="169" spans="1:24" x14ac:dyDescent="0.3">
      <c r="A169" t="s">
        <v>127</v>
      </c>
      <c r="C169" t="str">
        <f>+Currency</f>
        <v>Rub '000'</v>
      </c>
      <c r="E169" s="38">
        <f ca="1">+MAX(D169-E168,0)</f>
        <v>1282.0512820512829</v>
      </c>
      <c r="F169" s="38">
        <f t="shared" ref="F169:X169" ca="1" si="162">+MAX(E169-F168,0)</f>
        <v>18750.821827744898</v>
      </c>
      <c r="G169" s="38">
        <f t="shared" ca="1" si="162"/>
        <v>0</v>
      </c>
      <c r="H169" s="38">
        <f t="shared" ca="1" si="162"/>
        <v>0</v>
      </c>
      <c r="I169" s="38">
        <f t="shared" ca="1" si="162"/>
        <v>0</v>
      </c>
      <c r="J169" s="38">
        <f t="shared" ca="1" si="162"/>
        <v>0</v>
      </c>
      <c r="K169" s="38">
        <f t="shared" ca="1" si="162"/>
        <v>0</v>
      </c>
      <c r="L169" s="38">
        <f t="shared" ca="1" si="162"/>
        <v>0</v>
      </c>
      <c r="M169" s="38">
        <f t="shared" ca="1" si="162"/>
        <v>0</v>
      </c>
      <c r="N169" s="38">
        <f t="shared" ca="1" si="162"/>
        <v>0</v>
      </c>
      <c r="O169" s="38">
        <f t="shared" ca="1" si="162"/>
        <v>0</v>
      </c>
      <c r="P169" s="38">
        <f t="shared" ca="1" si="162"/>
        <v>0</v>
      </c>
      <c r="Q169" s="38">
        <f t="shared" ca="1" si="162"/>
        <v>0</v>
      </c>
      <c r="R169" s="38">
        <f t="shared" ca="1" si="162"/>
        <v>0</v>
      </c>
      <c r="S169" s="38">
        <f t="shared" ca="1" si="162"/>
        <v>0</v>
      </c>
      <c r="T169" s="38">
        <f t="shared" ca="1" si="162"/>
        <v>0</v>
      </c>
      <c r="U169" s="38">
        <f t="shared" ca="1" si="162"/>
        <v>0</v>
      </c>
      <c r="V169" s="38">
        <f t="shared" ca="1" si="162"/>
        <v>0</v>
      </c>
      <c r="W169" s="38">
        <f t="shared" ca="1" si="162"/>
        <v>0</v>
      </c>
      <c r="X169" s="38">
        <f t="shared" ca="1" si="162"/>
        <v>0</v>
      </c>
    </row>
    <row r="170" spans="1:24" x14ac:dyDescent="0.3">
      <c r="A170" t="s">
        <v>128</v>
      </c>
      <c r="C170" t="s">
        <v>14</v>
      </c>
      <c r="E170" s="42">
        <f>+Macro!E23</f>
        <v>0.2</v>
      </c>
      <c r="F170" s="42">
        <f>+Macro!F23</f>
        <v>0.2</v>
      </c>
      <c r="G170" s="42">
        <f>+Macro!G23</f>
        <v>0.2</v>
      </c>
      <c r="H170" s="42">
        <f>+Macro!H23</f>
        <v>0.2</v>
      </c>
      <c r="I170" s="42">
        <f>+Macro!I23</f>
        <v>0.2</v>
      </c>
      <c r="J170" s="42">
        <f>+Macro!J23</f>
        <v>0.2</v>
      </c>
      <c r="K170" s="42">
        <f>+Macro!K23</f>
        <v>0.2</v>
      </c>
      <c r="L170" s="42">
        <f>+Macro!L23</f>
        <v>0.2</v>
      </c>
      <c r="M170" s="42">
        <f>+Macro!M23</f>
        <v>0.2</v>
      </c>
      <c r="N170" s="42">
        <f>+Macro!N23</f>
        <v>0.2</v>
      </c>
      <c r="O170" s="42">
        <f>+Macro!O23</f>
        <v>0.2</v>
      </c>
      <c r="P170" s="42">
        <f>+Macro!P23</f>
        <v>0.2</v>
      </c>
      <c r="Q170" s="42">
        <f>+Macro!Q23</f>
        <v>0.2</v>
      </c>
      <c r="R170" s="42">
        <f>+Macro!R23</f>
        <v>0.2</v>
      </c>
      <c r="S170" s="42">
        <f>+Macro!S23</f>
        <v>0.2</v>
      </c>
      <c r="T170" s="42">
        <f>+Macro!T23</f>
        <v>0.2</v>
      </c>
      <c r="U170" s="42">
        <f>+Macro!U23</f>
        <v>0.2</v>
      </c>
      <c r="V170" s="42">
        <f>+Macro!V23</f>
        <v>0.2</v>
      </c>
      <c r="W170" s="42">
        <f>+Macro!W23</f>
        <v>0.2</v>
      </c>
      <c r="X170" s="42">
        <f>+Macro!X23</f>
        <v>0.2</v>
      </c>
    </row>
    <row r="171" spans="1:24" s="16" customFormat="1" x14ac:dyDescent="0.3">
      <c r="A171" s="16" t="s">
        <v>122</v>
      </c>
      <c r="C171" s="16" t="str">
        <f>+Currency</f>
        <v>Rub '000'</v>
      </c>
      <c r="E171" s="16">
        <f ca="1">+MAX((E168-D169)*E170:E170,0)</f>
        <v>0</v>
      </c>
      <c r="F171" s="16">
        <f t="shared" ref="F171:X171" ca="1" si="163">+MAX((F168-E169)*F170:F170,0)</f>
        <v>0</v>
      </c>
      <c r="G171" s="16">
        <f t="shared" ca="1" si="163"/>
        <v>7618.2193517976357</v>
      </c>
      <c r="H171" s="16">
        <f t="shared" ca="1" si="163"/>
        <v>11013.244128520588</v>
      </c>
      <c r="I171" s="16">
        <f t="shared" ca="1" si="163"/>
        <v>11453.639336524471</v>
      </c>
      <c r="J171" s="16">
        <f t="shared" ca="1" si="163"/>
        <v>11903.600364299393</v>
      </c>
      <c r="K171" s="16">
        <f t="shared" ca="1" si="163"/>
        <v>12363.337145720767</v>
      </c>
      <c r="L171" s="16">
        <f t="shared" ca="1" si="163"/>
        <v>12833.064189583745</v>
      </c>
      <c r="M171" s="16">
        <f t="shared" ca="1" si="163"/>
        <v>13313.000678986091</v>
      </c>
      <c r="N171" s="16">
        <f t="shared" ca="1" si="163"/>
        <v>13803.370572867032</v>
      </c>
      <c r="O171" s="16">
        <f t="shared" ca="1" si="163"/>
        <v>14304.402709748492</v>
      </c>
      <c r="P171" s="16">
        <f t="shared" ca="1" si="163"/>
        <v>14816.330913726966</v>
      </c>
      <c r="Q171" s="16">
        <f t="shared" ca="1" si="163"/>
        <v>15339.394102764192</v>
      </c>
      <c r="R171" s="16">
        <f t="shared" ca="1" si="163"/>
        <v>15873.8363993271</v>
      </c>
      <c r="S171" s="16">
        <f t="shared" ca="1" si="163"/>
        <v>16419.907243427308</v>
      </c>
      <c r="T171" s="16">
        <f t="shared" ca="1" si="163"/>
        <v>16977.861508112841</v>
      </c>
      <c r="U171" s="16">
        <f t="shared" ca="1" si="163"/>
        <v>17547.959617464705</v>
      </c>
      <c r="V171" s="16">
        <f t="shared" ca="1" si="163"/>
        <v>18130.467667152894</v>
      </c>
      <c r="W171" s="16">
        <f t="shared" ca="1" si="163"/>
        <v>18725.657547607258</v>
      </c>
      <c r="X171" s="16">
        <f t="shared" ca="1" si="163"/>
        <v>19009.281054729337</v>
      </c>
    </row>
    <row r="174" spans="1:24" ht="15" thickBot="1" x14ac:dyDescent="0.35">
      <c r="A174" s="6" t="s">
        <v>161</v>
      </c>
      <c r="B174" s="6"/>
      <c r="C174" s="6"/>
      <c r="D174" s="6"/>
      <c r="E174" s="7" t="str">
        <f t="shared" ref="E174:X174" si="164">+E$2</f>
        <v>1Q 2024</v>
      </c>
      <c r="F174" s="7" t="str">
        <f t="shared" si="164"/>
        <v>2Q 2024</v>
      </c>
      <c r="G174" s="7" t="str">
        <f t="shared" si="164"/>
        <v>3Q 2024</v>
      </c>
      <c r="H174" s="7" t="str">
        <f t="shared" si="164"/>
        <v>4Q 2024</v>
      </c>
      <c r="I174" s="7" t="str">
        <f t="shared" si="164"/>
        <v>1Q 2025</v>
      </c>
      <c r="J174" s="7" t="str">
        <f t="shared" si="164"/>
        <v>2Q 2025</v>
      </c>
      <c r="K174" s="7" t="str">
        <f t="shared" si="164"/>
        <v>3Q 2025</v>
      </c>
      <c r="L174" s="7" t="str">
        <f t="shared" si="164"/>
        <v>4Q 2025</v>
      </c>
      <c r="M174" s="7" t="str">
        <f t="shared" si="164"/>
        <v>1Q 2026</v>
      </c>
      <c r="N174" s="7" t="str">
        <f t="shared" si="164"/>
        <v>2Q 2026</v>
      </c>
      <c r="O174" s="7" t="str">
        <f t="shared" si="164"/>
        <v>3Q 2026</v>
      </c>
      <c r="P174" s="7" t="str">
        <f t="shared" si="164"/>
        <v>4Q 2026</v>
      </c>
      <c r="Q174" s="7" t="str">
        <f t="shared" si="164"/>
        <v>1Q 2027</v>
      </c>
      <c r="R174" s="7" t="str">
        <f t="shared" si="164"/>
        <v>2Q 2027</v>
      </c>
      <c r="S174" s="7" t="str">
        <f t="shared" si="164"/>
        <v>3Q 2027</v>
      </c>
      <c r="T174" s="7" t="str">
        <f t="shared" si="164"/>
        <v>4Q 2027</v>
      </c>
      <c r="U174" s="7" t="str">
        <f t="shared" si="164"/>
        <v>1Q 2028</v>
      </c>
      <c r="V174" s="7" t="str">
        <f t="shared" si="164"/>
        <v>2Q 2028</v>
      </c>
      <c r="W174" s="7" t="str">
        <f t="shared" si="164"/>
        <v>3Q 2028</v>
      </c>
      <c r="X174" s="7" t="str">
        <f t="shared" si="164"/>
        <v>4Q 2028</v>
      </c>
    </row>
    <row r="175" spans="1:24" ht="15" thickTop="1" x14ac:dyDescent="0.3"/>
    <row r="176" spans="1:24" x14ac:dyDescent="0.3">
      <c r="A176" t="s">
        <v>162</v>
      </c>
      <c r="C176" t="str">
        <f>+Currency</f>
        <v>Rub '000'</v>
      </c>
      <c r="E176" s="41">
        <v>400000</v>
      </c>
      <c r="F176" s="41">
        <v>0</v>
      </c>
      <c r="G176" s="41">
        <v>0</v>
      </c>
      <c r="H176" s="41">
        <v>0</v>
      </c>
      <c r="I176" s="41">
        <v>0</v>
      </c>
      <c r="J176" s="41">
        <v>0</v>
      </c>
      <c r="K176" s="41">
        <v>0</v>
      </c>
      <c r="L176" s="41">
        <v>0</v>
      </c>
      <c r="M176" s="41">
        <v>0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>
        <v>0</v>
      </c>
      <c r="X176" s="41">
        <v>0</v>
      </c>
    </row>
    <row r="177" spans="1:24" x14ac:dyDescent="0.3">
      <c r="A177" t="s">
        <v>163</v>
      </c>
      <c r="C177" t="str">
        <f>+Currency</f>
        <v>Rub '000'</v>
      </c>
      <c r="E177" s="38">
        <f>+D177+E176</f>
        <v>400000</v>
      </c>
      <c r="F177" s="38">
        <f t="shared" ref="F177:X177" si="165">+E177+F176</f>
        <v>400000</v>
      </c>
      <c r="G177" s="38">
        <f t="shared" si="165"/>
        <v>400000</v>
      </c>
      <c r="H177" s="38">
        <f t="shared" si="165"/>
        <v>400000</v>
      </c>
      <c r="I177" s="38">
        <f t="shared" si="165"/>
        <v>400000</v>
      </c>
      <c r="J177" s="38">
        <f t="shared" si="165"/>
        <v>400000</v>
      </c>
      <c r="K177" s="38">
        <f t="shared" si="165"/>
        <v>400000</v>
      </c>
      <c r="L177" s="38">
        <f t="shared" si="165"/>
        <v>400000</v>
      </c>
      <c r="M177" s="38">
        <f t="shared" si="165"/>
        <v>400000</v>
      </c>
      <c r="N177" s="38">
        <f t="shared" si="165"/>
        <v>400000</v>
      </c>
      <c r="O177" s="38">
        <f t="shared" si="165"/>
        <v>400000</v>
      </c>
      <c r="P177" s="38">
        <f t="shared" si="165"/>
        <v>400000</v>
      </c>
      <c r="Q177" s="38">
        <f t="shared" si="165"/>
        <v>400000</v>
      </c>
      <c r="R177" s="38">
        <f t="shared" si="165"/>
        <v>400000</v>
      </c>
      <c r="S177" s="38">
        <f t="shared" si="165"/>
        <v>400000</v>
      </c>
      <c r="T177" s="38">
        <f t="shared" si="165"/>
        <v>400000</v>
      </c>
      <c r="U177" s="38">
        <f t="shared" si="165"/>
        <v>400000</v>
      </c>
      <c r="V177" s="38">
        <f t="shared" si="165"/>
        <v>400000</v>
      </c>
      <c r="W177" s="38">
        <f t="shared" si="165"/>
        <v>400000</v>
      </c>
      <c r="X177" s="38">
        <f t="shared" si="165"/>
        <v>400000</v>
      </c>
    </row>
    <row r="179" spans="1:24" x14ac:dyDescent="0.3">
      <c r="A179" s="16" t="s">
        <v>164</v>
      </c>
    </row>
    <row r="180" spans="1:24" x14ac:dyDescent="0.3">
      <c r="A180" s="21" t="s">
        <v>188</v>
      </c>
    </row>
    <row r="181" spans="1:24" x14ac:dyDescent="0.3">
      <c r="A181" s="23" t="s">
        <v>185</v>
      </c>
      <c r="C181" t="str">
        <f>+Currency</f>
        <v>Rub '000'</v>
      </c>
      <c r="E181" s="53">
        <f ca="1">+MAX(-Reports!E38+Reports!E32,0)</f>
        <v>51282.05128205131</v>
      </c>
      <c r="F181" s="53">
        <f ca="1">+MAX(-Reports!F38+Reports!F32,0)</f>
        <v>647468.77054569335</v>
      </c>
      <c r="G181" s="53">
        <f ca="1">+MAX(-Reports!G38+Reports!G32,0)</f>
        <v>77186.081720285525</v>
      </c>
      <c r="H181" s="53">
        <f ca="1">+MAX(-Reports!H38+Reports!H32,0)</f>
        <v>0</v>
      </c>
      <c r="I181" s="53">
        <f ca="1">+MAX(-Reports!I38+Reports!I32,0)</f>
        <v>0</v>
      </c>
      <c r="J181" s="53">
        <f ca="1">+MAX(-Reports!J38+Reports!J32,0)</f>
        <v>0</v>
      </c>
      <c r="K181" s="53">
        <f ca="1">+MAX(-Reports!K38+Reports!K32,0)</f>
        <v>0</v>
      </c>
      <c r="L181" s="53">
        <f ca="1">+MAX(-Reports!L38+Reports!L32,0)</f>
        <v>0</v>
      </c>
      <c r="M181" s="53">
        <f ca="1">+MAX(-Reports!M38+Reports!M32,0)</f>
        <v>0</v>
      </c>
      <c r="N181" s="53">
        <f ca="1">+MAX(-Reports!N38+Reports!N32,0)</f>
        <v>0</v>
      </c>
      <c r="O181" s="53">
        <f ca="1">+MAX(-Reports!O38+Reports!O32,0)</f>
        <v>0</v>
      </c>
      <c r="P181" s="53">
        <f ca="1">+MAX(-Reports!P38+Reports!P32,0)</f>
        <v>0</v>
      </c>
      <c r="Q181" s="53">
        <f ca="1">+MAX(-Reports!Q38+Reports!Q32,0)</f>
        <v>0</v>
      </c>
      <c r="R181" s="53">
        <f ca="1">+MAX(-Reports!R38+Reports!R32,0)</f>
        <v>0</v>
      </c>
      <c r="S181" s="53">
        <f ca="1">+MAX(-Reports!S38+Reports!S32,0)</f>
        <v>0</v>
      </c>
      <c r="T181" s="53">
        <f ca="1">+MAX(-Reports!T38+Reports!T32,0)</f>
        <v>0</v>
      </c>
      <c r="U181" s="53">
        <f ca="1">+MAX(-Reports!U38+Reports!U32,0)</f>
        <v>0</v>
      </c>
      <c r="V181" s="53">
        <f ca="1">+MAX(-Reports!V38+Reports!V32,0)</f>
        <v>0</v>
      </c>
      <c r="W181" s="53">
        <f ca="1">+MAX(-Reports!W38+Reports!W32,0)</f>
        <v>0</v>
      </c>
      <c r="X181" s="53">
        <f ca="1">+MAX(-Reports!X38+Reports!X32,0)</f>
        <v>0</v>
      </c>
    </row>
    <row r="182" spans="1:24" x14ac:dyDescent="0.3">
      <c r="A182" s="23" t="s">
        <v>186</v>
      </c>
      <c r="C182" t="str">
        <f>+Currency</f>
        <v>Rub '000'</v>
      </c>
      <c r="E182" s="50">
        <f ca="1">+MAX(Reports!E38-Reports!E33,0)</f>
        <v>0</v>
      </c>
      <c r="F182" s="50">
        <f ca="1">+MAX(Reports!F38-Reports!F33,0)</f>
        <v>0</v>
      </c>
      <c r="G182" s="50">
        <f ca="1">+MAX(Reports!G38-Reports!G33,0)</f>
        <v>0</v>
      </c>
      <c r="H182" s="50">
        <f ca="1">+MAX(Reports!H38-Reports!H33,0)</f>
        <v>69541.367573742318</v>
      </c>
      <c r="I182" s="50">
        <f ca="1">+MAX(Reports!I38-Reports!I33,0)</f>
        <v>100934.65062914</v>
      </c>
      <c r="J182" s="50">
        <f ca="1">+MAX(Reports!J38-Reports!J33,0)</f>
        <v>132615.82255650326</v>
      </c>
      <c r="K182" s="50">
        <f ca="1">+MAX(Reports!K38-Reports!K33,0)</f>
        <v>164585.95286791329</v>
      </c>
      <c r="L182" s="50">
        <f ca="1">+MAX(Reports!L38-Reports!L33,0)</f>
        <v>196846.09307989071</v>
      </c>
      <c r="M182" s="50">
        <f ca="1">+MAX(Reports!M38-Reports!M33,0)</f>
        <v>229397.27591784339</v>
      </c>
      <c r="N182" s="50">
        <f ca="1">+MAX(Reports!N38-Reports!N33,0)</f>
        <v>262240.51449928107</v>
      </c>
      <c r="O182" s="50">
        <f ca="1">+MAX(Reports!O38-Reports!O33,0)</f>
        <v>295376.80149529525</v>
      </c>
      <c r="P182" s="50">
        <f ca="1">+MAX(Reports!P38-Reports!P33,0)</f>
        <v>328807.10826979595</v>
      </c>
      <c r="Q182" s="50">
        <f ca="1">+MAX(Reports!Q38-Reports!Q33,0)</f>
        <v>362532.38399598206</v>
      </c>
      <c r="R182" s="50">
        <f ca="1">+MAX(Reports!R38-Reports!R33,0)</f>
        <v>396553.55474951118</v>
      </c>
      <c r="S182" s="50">
        <f ca="1">+MAX(Reports!S38-Reports!S33,0)</f>
        <v>430871.52257782465</v>
      </c>
      <c r="T182" s="50">
        <f ca="1">+MAX(Reports!T38-Reports!T33,0)</f>
        <v>465487.16454506753</v>
      </c>
      <c r="U182" s="50">
        <f ca="1">+MAX(Reports!U38-Reports!U33,0)</f>
        <v>500401.3317520346</v>
      </c>
      <c r="V182" s="50">
        <f ca="1">+MAX(Reports!V38-Reports!V33,0)</f>
        <v>535614.84833055944</v>
      </c>
      <c r="W182" s="50">
        <f ca="1">+MAX(Reports!W38-Reports!W33,0)</f>
        <v>571128.51041174843</v>
      </c>
      <c r="X182" s="50">
        <f ca="1">+MAX(Reports!X38-Reports!X33,0)</f>
        <v>670550.18403302529</v>
      </c>
    </row>
    <row r="183" spans="1:24" x14ac:dyDescent="0.3">
      <c r="A183" s="23" t="s">
        <v>187</v>
      </c>
      <c r="C183" t="str">
        <f>+Currency</f>
        <v>Rub '000'</v>
      </c>
      <c r="E183" s="54">
        <f ca="1">MAX(Analysis!E40/Analysis!$B$43+Reports!E15,0)</f>
        <v>0</v>
      </c>
      <c r="F183" s="54">
        <f ca="1">MAX(Analysis!F40/Analysis!$B$43+Reports!F15,0)</f>
        <v>0</v>
      </c>
      <c r="G183" s="54">
        <f ca="1">MAX(Analysis!G40/Analysis!$B$43+Reports!G15,0)</f>
        <v>0</v>
      </c>
      <c r="H183" s="54">
        <f ca="1">MAX(Analysis!H40/Analysis!$B$43+Reports!H15,0)</f>
        <v>39894.770852927955</v>
      </c>
      <c r="I183" s="54">
        <f ca="1">MAX(Analysis!I40/Analysis!$B$43+Reports!I15,0)</f>
        <v>41391.684833091233</v>
      </c>
      <c r="J183" s="54">
        <f ca="1">MAX(Analysis!J40/Analysis!$B$43+Reports!J15,0)</f>
        <v>42926.484108119563</v>
      </c>
      <c r="K183" s="54">
        <f ca="1">MAX(Analysis!K40/Analysis!$B$43+Reports!K15,0)</f>
        <v>44500.043248403948</v>
      </c>
      <c r="L183" s="54">
        <f ca="1">MAX(Analysis!L40/Analysis!$B$43+Reports!L15,0)</f>
        <v>46113.256302708513</v>
      </c>
      <c r="M183" s="54">
        <f ca="1">MAX(Analysis!M40/Analysis!$B$43+Reports!M15,0)</f>
        <v>47767.037225417633</v>
      </c>
      <c r="N183" s="54">
        <f ca="1">MAX(Analysis!N40/Analysis!$B$43+Reports!N15,0)</f>
        <v>49462.320313092227</v>
      </c>
      <c r="O183" s="54">
        <f ca="1">MAX(Analysis!O40/Analysis!$B$43+Reports!O15,0)</f>
        <v>51200.060650535343</v>
      </c>
      <c r="P183" s="54">
        <f ca="1">MAX(Analysis!P40/Analysis!$B$43+Reports!P15,0)</f>
        <v>52981.234566576233</v>
      </c>
      <c r="Q183" s="54">
        <f ca="1">MAX(Analysis!Q40/Analysis!$B$43+Reports!Q15,0)</f>
        <v>54806.840099781912</v>
      </c>
      <c r="R183" s="54">
        <f ca="1">MAX(Analysis!R40/Analysis!$B$43+Reports!R15,0)</f>
        <v>56677.897474312587</v>
      </c>
      <c r="S183" s="54">
        <f ca="1">MAX(Analysis!S40/Analysis!$B$43+Reports!S15,0)</f>
        <v>58595.449586141884</v>
      </c>
      <c r="T183" s="54">
        <f ca="1">MAX(Analysis!T40/Analysis!$B$43+Reports!T15,0)</f>
        <v>60560.562499865468</v>
      </c>
      <c r="U183" s="54">
        <f ca="1">MAX(Analysis!U40/Analysis!$B$43+Reports!U15,0)</f>
        <v>62574.325956329565</v>
      </c>
      <c r="V183" s="54">
        <f ca="1">MAX(Analysis!V40/Analysis!$B$43+Reports!V15,0)</f>
        <v>64637.853891313571</v>
      </c>
      <c r="W183" s="54">
        <f ca="1">MAX(Analysis!W40/Analysis!$B$43+Reports!W15,0)</f>
        <v>66752.284965506638</v>
      </c>
      <c r="X183" s="54">
        <f ca="1">MAX(Analysis!X40/Analysis!$B$43+Reports!X15,0)</f>
        <v>67512.503707125055</v>
      </c>
    </row>
    <row r="184" spans="1:24" x14ac:dyDescent="0.3">
      <c r="A184" s="21" t="s">
        <v>189</v>
      </c>
      <c r="E184" s="1">
        <v>0</v>
      </c>
      <c r="F184" s="1">
        <v>0</v>
      </c>
      <c r="G184" s="1">
        <v>0</v>
      </c>
      <c r="H184" s="1">
        <v>1</v>
      </c>
      <c r="I184" s="1">
        <f>+H184</f>
        <v>1</v>
      </c>
      <c r="J184" s="1">
        <f t="shared" ref="J184:X184" si="166">+I184</f>
        <v>1</v>
      </c>
      <c r="K184" s="1">
        <f t="shared" si="166"/>
        <v>1</v>
      </c>
      <c r="L184" s="1">
        <f t="shared" si="166"/>
        <v>1</v>
      </c>
      <c r="M184" s="1">
        <f t="shared" si="166"/>
        <v>1</v>
      </c>
      <c r="N184" s="1">
        <f t="shared" si="166"/>
        <v>1</v>
      </c>
      <c r="O184" s="1">
        <f t="shared" si="166"/>
        <v>1</v>
      </c>
      <c r="P184" s="1">
        <f t="shared" si="166"/>
        <v>1</v>
      </c>
      <c r="Q184" s="1">
        <f t="shared" si="166"/>
        <v>1</v>
      </c>
      <c r="R184" s="1">
        <f t="shared" si="166"/>
        <v>1</v>
      </c>
      <c r="S184" s="1">
        <f t="shared" si="166"/>
        <v>1</v>
      </c>
      <c r="T184" s="1">
        <f t="shared" si="166"/>
        <v>1</v>
      </c>
      <c r="U184" s="1">
        <f t="shared" si="166"/>
        <v>1</v>
      </c>
      <c r="V184" s="1">
        <f t="shared" si="166"/>
        <v>1</v>
      </c>
      <c r="W184" s="1">
        <f t="shared" si="166"/>
        <v>1</v>
      </c>
      <c r="X184" s="1">
        <f t="shared" si="166"/>
        <v>1</v>
      </c>
    </row>
    <row r="185" spans="1:24" x14ac:dyDescent="0.3">
      <c r="A185" s="16"/>
    </row>
    <row r="186" spans="1:24" x14ac:dyDescent="0.3">
      <c r="A186" t="s">
        <v>165</v>
      </c>
      <c r="C186" t="str">
        <f>+Currency</f>
        <v>Rub '000'</v>
      </c>
      <c r="E186" s="38">
        <f ca="1">+IF(E184=0,E181,0)</f>
        <v>51282.05128205131</v>
      </c>
      <c r="F186" s="38">
        <f t="shared" ref="F186:X186" ca="1" si="167">+IF(F184=0,F181,0)</f>
        <v>647468.77054569335</v>
      </c>
      <c r="G186" s="38">
        <f t="shared" ca="1" si="167"/>
        <v>77186.081720285525</v>
      </c>
      <c r="H186" s="38">
        <f t="shared" si="167"/>
        <v>0</v>
      </c>
      <c r="I186" s="38">
        <f t="shared" si="167"/>
        <v>0</v>
      </c>
      <c r="J186" s="38">
        <f t="shared" si="167"/>
        <v>0</v>
      </c>
      <c r="K186" s="38">
        <f t="shared" si="167"/>
        <v>0</v>
      </c>
      <c r="L186" s="38">
        <f t="shared" si="167"/>
        <v>0</v>
      </c>
      <c r="M186" s="38">
        <f t="shared" si="167"/>
        <v>0</v>
      </c>
      <c r="N186" s="38">
        <f t="shared" si="167"/>
        <v>0</v>
      </c>
      <c r="O186" s="38">
        <f t="shared" si="167"/>
        <v>0</v>
      </c>
      <c r="P186" s="38">
        <f t="shared" si="167"/>
        <v>0</v>
      </c>
      <c r="Q186" s="38">
        <f t="shared" si="167"/>
        <v>0</v>
      </c>
      <c r="R186" s="38">
        <f t="shared" si="167"/>
        <v>0</v>
      </c>
      <c r="S186" s="38">
        <f t="shared" si="167"/>
        <v>0</v>
      </c>
      <c r="T186" s="38">
        <f t="shared" si="167"/>
        <v>0</v>
      </c>
      <c r="U186" s="38">
        <f t="shared" si="167"/>
        <v>0</v>
      </c>
      <c r="V186" s="38">
        <f t="shared" si="167"/>
        <v>0</v>
      </c>
      <c r="W186" s="38">
        <f t="shared" si="167"/>
        <v>0</v>
      </c>
      <c r="X186" s="38">
        <f t="shared" si="167"/>
        <v>0</v>
      </c>
    </row>
    <row r="187" spans="1:24" x14ac:dyDescent="0.3">
      <c r="A187" t="s">
        <v>166</v>
      </c>
      <c r="C187" t="str">
        <f>+Currency</f>
        <v>Rub '000'</v>
      </c>
      <c r="E187" s="38">
        <f>+IF(E184=1,MIN(E182,E183,E188),0)</f>
        <v>0</v>
      </c>
      <c r="F187" s="38">
        <f t="shared" ref="F187:X187" si="168">+IF(F184=1,MIN(F182,F183,F188),0)</f>
        <v>0</v>
      </c>
      <c r="G187" s="38">
        <f t="shared" si="168"/>
        <v>0</v>
      </c>
      <c r="H187" s="38">
        <f t="shared" ca="1" si="168"/>
        <v>39894.770852927955</v>
      </c>
      <c r="I187" s="38">
        <f t="shared" ca="1" si="168"/>
        <v>41391.684833091233</v>
      </c>
      <c r="J187" s="38">
        <f t="shared" ca="1" si="168"/>
        <v>42926.484108119563</v>
      </c>
      <c r="K187" s="38">
        <f t="shared" ca="1" si="168"/>
        <v>44500.043248403948</v>
      </c>
      <c r="L187" s="38">
        <f t="shared" ca="1" si="168"/>
        <v>46113.256302708513</v>
      </c>
      <c r="M187" s="38">
        <f t="shared" ca="1" si="168"/>
        <v>47767.037225417633</v>
      </c>
      <c r="N187" s="38">
        <f t="shared" ca="1" si="168"/>
        <v>49462.320313092227</v>
      </c>
      <c r="O187" s="38">
        <f t="shared" ca="1" si="168"/>
        <v>51200.060650535343</v>
      </c>
      <c r="P187" s="38">
        <f t="shared" ca="1" si="168"/>
        <v>52981.234566576233</v>
      </c>
      <c r="Q187" s="38">
        <f t="shared" ca="1" si="168"/>
        <v>54806.840099781912</v>
      </c>
      <c r="R187" s="38">
        <f t="shared" ca="1" si="168"/>
        <v>56677.897474312587</v>
      </c>
      <c r="S187" s="38">
        <f t="shared" ca="1" si="168"/>
        <v>58595.449586141884</v>
      </c>
      <c r="T187" s="38">
        <f t="shared" ca="1" si="168"/>
        <v>60560.562499865468</v>
      </c>
      <c r="U187" s="38">
        <f t="shared" ca="1" si="168"/>
        <v>62574.325956329565</v>
      </c>
      <c r="V187" s="38">
        <f t="shared" ca="1" si="168"/>
        <v>64637.853891313571</v>
      </c>
      <c r="W187" s="38">
        <f t="shared" ca="1" si="168"/>
        <v>1847.0819394125792</v>
      </c>
      <c r="X187" s="38">
        <f t="shared" ca="1" si="168"/>
        <v>1.7607817426323891E-9</v>
      </c>
    </row>
    <row r="188" spans="1:24" x14ac:dyDescent="0.3">
      <c r="A188" t="s">
        <v>167</v>
      </c>
      <c r="C188" t="str">
        <f>+Currency</f>
        <v>Rub '000'</v>
      </c>
      <c r="E188" s="38">
        <f ca="1">+D189+E186</f>
        <v>51282.05128205131</v>
      </c>
      <c r="F188" s="38">
        <f t="shared" ref="F188:X188" ca="1" si="169">+E189+F186</f>
        <v>698750.8218277446</v>
      </c>
      <c r="G188" s="38">
        <f t="shared" ca="1" si="169"/>
        <v>775936.90354803018</v>
      </c>
      <c r="H188" s="38">
        <f t="shared" ca="1" si="169"/>
        <v>775936.90354803018</v>
      </c>
      <c r="I188" s="38">
        <f t="shared" ca="1" si="169"/>
        <v>736042.13269510225</v>
      </c>
      <c r="J188" s="38">
        <f t="shared" ca="1" si="169"/>
        <v>694650.44786201103</v>
      </c>
      <c r="K188" s="38">
        <f t="shared" ca="1" si="169"/>
        <v>651723.96375389141</v>
      </c>
      <c r="L188" s="38">
        <f t="shared" ca="1" si="169"/>
        <v>607223.92050548748</v>
      </c>
      <c r="M188" s="38">
        <f t="shared" ca="1" si="169"/>
        <v>561110.66420277895</v>
      </c>
      <c r="N188" s="38">
        <f t="shared" ca="1" si="169"/>
        <v>513343.62697736133</v>
      </c>
      <c r="O188" s="38">
        <f t="shared" ca="1" si="169"/>
        <v>463881.30666426913</v>
      </c>
      <c r="P188" s="38">
        <f t="shared" ca="1" si="169"/>
        <v>412681.24601373379</v>
      </c>
      <c r="Q188" s="38">
        <f t="shared" ca="1" si="169"/>
        <v>359700.01144715754</v>
      </c>
      <c r="R188" s="38">
        <f t="shared" ca="1" si="169"/>
        <v>304893.17134737561</v>
      </c>
      <c r="S188" s="38">
        <f t="shared" ca="1" si="169"/>
        <v>248215.27387306304</v>
      </c>
      <c r="T188" s="38">
        <f t="shared" ca="1" si="169"/>
        <v>189619.82428692115</v>
      </c>
      <c r="U188" s="38">
        <f t="shared" ca="1" si="169"/>
        <v>129059.26178705569</v>
      </c>
      <c r="V188" s="38">
        <f t="shared" ca="1" si="169"/>
        <v>66484.935830726114</v>
      </c>
      <c r="W188" s="38">
        <f t="shared" ca="1" si="169"/>
        <v>1847.0819394125574</v>
      </c>
      <c r="X188" s="38">
        <f t="shared" ca="1" si="169"/>
        <v>6.1118043959140778E-10</v>
      </c>
    </row>
    <row r="189" spans="1:24" x14ac:dyDescent="0.3">
      <c r="A189" t="s">
        <v>168</v>
      </c>
      <c r="C189" t="str">
        <f>+Currency</f>
        <v>Rub '000'</v>
      </c>
      <c r="E189" s="38">
        <f ca="1">+E188-E187</f>
        <v>51282.05128205131</v>
      </c>
      <c r="F189" s="38">
        <f t="shared" ref="F189:X189" ca="1" si="170">+F188-F187</f>
        <v>698750.8218277446</v>
      </c>
      <c r="G189" s="38">
        <f t="shared" ca="1" si="170"/>
        <v>775936.90354803018</v>
      </c>
      <c r="H189" s="38">
        <f t="shared" ca="1" si="170"/>
        <v>736042.13269510225</v>
      </c>
      <c r="I189" s="38">
        <f t="shared" ca="1" si="170"/>
        <v>694650.44786201103</v>
      </c>
      <c r="J189" s="38">
        <f t="shared" ca="1" si="170"/>
        <v>651723.96375389141</v>
      </c>
      <c r="K189" s="38">
        <f t="shared" ca="1" si="170"/>
        <v>607223.92050548748</v>
      </c>
      <c r="L189" s="38">
        <f t="shared" ca="1" si="170"/>
        <v>561110.66420277895</v>
      </c>
      <c r="M189" s="38">
        <f t="shared" ca="1" si="170"/>
        <v>513343.62697736133</v>
      </c>
      <c r="N189" s="38">
        <f t="shared" ca="1" si="170"/>
        <v>463881.30666426913</v>
      </c>
      <c r="O189" s="38">
        <f t="shared" ca="1" si="170"/>
        <v>412681.24601373379</v>
      </c>
      <c r="P189" s="38">
        <f t="shared" ca="1" si="170"/>
        <v>359700.01144715754</v>
      </c>
      <c r="Q189" s="38">
        <f t="shared" ca="1" si="170"/>
        <v>304893.17134737561</v>
      </c>
      <c r="R189" s="38">
        <f t="shared" ca="1" si="170"/>
        <v>248215.27387306304</v>
      </c>
      <c r="S189" s="38">
        <f t="shared" ca="1" si="170"/>
        <v>189619.82428692115</v>
      </c>
      <c r="T189" s="38">
        <f t="shared" ca="1" si="170"/>
        <v>129059.26178705569</v>
      </c>
      <c r="U189" s="38">
        <f t="shared" ca="1" si="170"/>
        <v>66484.935830726114</v>
      </c>
      <c r="V189" s="38">
        <f t="shared" ca="1" si="170"/>
        <v>1847.0819394125429</v>
      </c>
      <c r="W189" s="38">
        <f t="shared" ca="1" si="170"/>
        <v>-2.1827872842550278E-11</v>
      </c>
      <c r="X189" s="38">
        <f t="shared" ca="1" si="170"/>
        <v>-1.1496013030409813E-9</v>
      </c>
    </row>
    <row r="190" spans="1:24" x14ac:dyDescent="0.3">
      <c r="A190" t="s">
        <v>169</v>
      </c>
      <c r="C190" s="49" t="s">
        <v>14</v>
      </c>
      <c r="E190" s="9">
        <f>+'Scenario Analysis'!B31</f>
        <v>0.1</v>
      </c>
      <c r="F190" s="9">
        <f>+E190</f>
        <v>0.1</v>
      </c>
      <c r="G190" s="9">
        <f t="shared" ref="G190:X190" si="171">+F190</f>
        <v>0.1</v>
      </c>
      <c r="H190" s="9">
        <f t="shared" si="171"/>
        <v>0.1</v>
      </c>
      <c r="I190" s="9">
        <f t="shared" si="171"/>
        <v>0.1</v>
      </c>
      <c r="J190" s="9">
        <f t="shared" si="171"/>
        <v>0.1</v>
      </c>
      <c r="K190" s="9">
        <f t="shared" si="171"/>
        <v>0.1</v>
      </c>
      <c r="L190" s="9">
        <f t="shared" si="171"/>
        <v>0.1</v>
      </c>
      <c r="M190" s="9">
        <f t="shared" si="171"/>
        <v>0.1</v>
      </c>
      <c r="N190" s="9">
        <f t="shared" si="171"/>
        <v>0.1</v>
      </c>
      <c r="O190" s="9">
        <f t="shared" si="171"/>
        <v>0.1</v>
      </c>
      <c r="P190" s="9">
        <f t="shared" si="171"/>
        <v>0.1</v>
      </c>
      <c r="Q190" s="9">
        <f t="shared" si="171"/>
        <v>0.1</v>
      </c>
      <c r="R190" s="9">
        <f t="shared" si="171"/>
        <v>0.1</v>
      </c>
      <c r="S190" s="9">
        <f t="shared" si="171"/>
        <v>0.1</v>
      </c>
      <c r="T190" s="9">
        <f t="shared" si="171"/>
        <v>0.1</v>
      </c>
      <c r="U190" s="9">
        <f t="shared" si="171"/>
        <v>0.1</v>
      </c>
      <c r="V190" s="9">
        <f t="shared" si="171"/>
        <v>0.1</v>
      </c>
      <c r="W190" s="9">
        <f t="shared" si="171"/>
        <v>0.1</v>
      </c>
      <c r="X190" s="9">
        <f t="shared" si="171"/>
        <v>0.1</v>
      </c>
    </row>
    <row r="191" spans="1:24" x14ac:dyDescent="0.3">
      <c r="A191" t="s">
        <v>170</v>
      </c>
      <c r="C191" t="str">
        <f>+Currency</f>
        <v>Rub '000'</v>
      </c>
      <c r="E191" s="38">
        <f ca="1">+E188*E190/12*Macro!E5</f>
        <v>1282.0512820512829</v>
      </c>
      <c r="F191" s="38">
        <f ca="1">+F188*F190/12*Macro!F5</f>
        <v>17468.770545693616</v>
      </c>
      <c r="G191" s="38">
        <f ca="1">+G188*G190/12*Macro!G5</f>
        <v>19398.422588700756</v>
      </c>
      <c r="H191" s="38">
        <f ca="1">+H188*H190/12*Macro!H5</f>
        <v>19398.422588700756</v>
      </c>
      <c r="I191" s="38">
        <f ca="1">+I188*I190/12*Macro!I5</f>
        <v>18401.053317377558</v>
      </c>
      <c r="J191" s="38">
        <f ca="1">+J188*J190/12*Macro!J5</f>
        <v>17366.261196550277</v>
      </c>
      <c r="K191" s="38">
        <f ca="1">+K188*K190/12*Macro!K5</f>
        <v>16293.099093847286</v>
      </c>
      <c r="L191" s="38">
        <f ca="1">+L188*L190/12*Macro!L5</f>
        <v>15180.598012637187</v>
      </c>
      <c r="M191" s="38">
        <f ca="1">+M188*M190/12*Macro!M5</f>
        <v>14027.766605069475</v>
      </c>
      <c r="N191" s="38">
        <f ca="1">+N188*N190/12*Macro!N5</f>
        <v>12833.590674434034</v>
      </c>
      <c r="O191" s="38">
        <f ca="1">+O188*O190/12*Macro!O5</f>
        <v>11597.032666606729</v>
      </c>
      <c r="P191" s="38">
        <f ca="1">+P188*P190/12*Macro!P5</f>
        <v>10317.031150343346</v>
      </c>
      <c r="Q191" s="38">
        <f ca="1">+Q188*Q190/12*Macro!Q5</f>
        <v>8992.500286178938</v>
      </c>
      <c r="R191" s="38">
        <f ca="1">+R188*R190/12*Macro!R5</f>
        <v>7622.3292836843902</v>
      </c>
      <c r="S191" s="38">
        <f ca="1">+S188*S190/12*Macro!S5</f>
        <v>6205.3818468265763</v>
      </c>
      <c r="T191" s="38">
        <f ca="1">+T188*T190/12*Macro!T5</f>
        <v>4740.4956071730294</v>
      </c>
      <c r="U191" s="38">
        <f ca="1">+U188*U190/12*Macro!U5</f>
        <v>3226.4815446763923</v>
      </c>
      <c r="V191" s="38">
        <f ca="1">+V188*V190/12*Macro!V5</f>
        <v>1662.1233957681529</v>
      </c>
      <c r="W191" s="38">
        <f ca="1">+W188*W190/12*Macro!W5</f>
        <v>46.177048485313939</v>
      </c>
      <c r="X191" s="38">
        <f ca="1">+X188*X190/12*Macro!X5</f>
        <v>1.5279510989785195E-11</v>
      </c>
    </row>
    <row r="193" spans="1:24" x14ac:dyDescent="0.3">
      <c r="A193" s="39" t="s">
        <v>171</v>
      </c>
    </row>
    <row r="194" spans="1:24" x14ac:dyDescent="0.3">
      <c r="A194" t="s">
        <v>172</v>
      </c>
      <c r="C194" t="str">
        <f>+Currency</f>
        <v>Rub '000'</v>
      </c>
      <c r="E194" s="50">
        <f ca="1">+Reports!E38</f>
        <v>0</v>
      </c>
      <c r="F194" s="50">
        <f ca="1">+Reports!F38</f>
        <v>0</v>
      </c>
      <c r="G194" s="50">
        <f ca="1">+Reports!G38</f>
        <v>0</v>
      </c>
      <c r="H194" s="50">
        <f ca="1">+Reports!H38</f>
        <v>29646.596720814363</v>
      </c>
      <c r="I194" s="50">
        <f ca="1">+Reports!I38</f>
        <v>59542.96579604876</v>
      </c>
      <c r="J194" s="50">
        <f ca="1">+Reports!J38</f>
        <v>89689.3384483837</v>
      </c>
      <c r="K194" s="50">
        <f ca="1">+Reports!K38</f>
        <v>120085.90961950933</v>
      </c>
      <c r="L194" s="50">
        <f ca="1">+Reports!L38</f>
        <v>150732.83677718218</v>
      </c>
      <c r="M194" s="50">
        <f ca="1">+Reports!M38</f>
        <v>181630.23869242574</v>
      </c>
      <c r="N194" s="50">
        <f ca="1">+Reports!N38</f>
        <v>212778.19418618886</v>
      </c>
      <c r="O194" s="50">
        <f ca="1">+Reports!O38</f>
        <v>244176.74084475989</v>
      </c>
      <c r="P194" s="50">
        <f ca="1">+Reports!P38</f>
        <v>275825.8737032197</v>
      </c>
      <c r="Q194" s="50">
        <f ca="1">+Reports!Q38</f>
        <v>307725.54389620014</v>
      </c>
      <c r="R194" s="50">
        <f ca="1">+Reports!R38</f>
        <v>339875.65727519861</v>
      </c>
      <c r="S194" s="50">
        <f ca="1">+Reports!S38</f>
        <v>372276.0729916828</v>
      </c>
      <c r="T194" s="50">
        <f ca="1">+Reports!T38</f>
        <v>404926.60204520205</v>
      </c>
      <c r="U194" s="50">
        <f ca="1">+Reports!U38</f>
        <v>437827.00579570502</v>
      </c>
      <c r="V194" s="50">
        <f ca="1">+Reports!V38</f>
        <v>470976.9944392459</v>
      </c>
      <c r="W194" s="50">
        <f ca="1">+Reports!W38</f>
        <v>569281.4284723365</v>
      </c>
      <c r="X194" s="50">
        <f ca="1">+Reports!X38</f>
        <v>670550.18403311074</v>
      </c>
    </row>
    <row r="195" spans="1:24" x14ac:dyDescent="0.3">
      <c r="A195" t="s">
        <v>181</v>
      </c>
      <c r="C195" t="s">
        <v>17</v>
      </c>
      <c r="E195" t="str">
        <f ca="1">+Analysis!E42</f>
        <v>-</v>
      </c>
      <c r="F195" t="str">
        <f ca="1">+Analysis!F42</f>
        <v>-</v>
      </c>
      <c r="G195" t="str">
        <f ca="1">+Analysis!G42</f>
        <v>-</v>
      </c>
      <c r="H195" s="10">
        <f ca="1">+Analysis!H42</f>
        <v>1.5</v>
      </c>
      <c r="I195" s="10">
        <f ca="1">+Analysis!I42</f>
        <v>1.5</v>
      </c>
      <c r="J195" s="10">
        <f ca="1">+Analysis!J42</f>
        <v>1.5000000000000002</v>
      </c>
      <c r="K195" s="10">
        <f ca="1">+Analysis!K42</f>
        <v>1.5000000000000002</v>
      </c>
      <c r="L195" s="10">
        <f ca="1">+Analysis!L42</f>
        <v>1.5</v>
      </c>
      <c r="M195" s="10">
        <f ca="1">+Analysis!M42</f>
        <v>1.5</v>
      </c>
      <c r="N195" s="10">
        <f ca="1">+Analysis!N42</f>
        <v>1.5</v>
      </c>
      <c r="O195" s="10">
        <f ca="1">+Analysis!O42</f>
        <v>1.5</v>
      </c>
      <c r="P195" s="10">
        <f ca="1">+Analysis!P42</f>
        <v>1.5</v>
      </c>
      <c r="Q195" s="10">
        <f ca="1">+Analysis!Q42</f>
        <v>1.5</v>
      </c>
      <c r="R195" s="10">
        <f ca="1">+Analysis!R42</f>
        <v>1.5</v>
      </c>
      <c r="S195" s="10">
        <f ca="1">+Analysis!S42</f>
        <v>1.5</v>
      </c>
      <c r="T195" s="10">
        <f ca="1">+Analysis!T42</f>
        <v>1.5</v>
      </c>
      <c r="U195" s="10">
        <f ca="1">+Analysis!U42</f>
        <v>1.5</v>
      </c>
      <c r="V195" s="10">
        <f ca="1">+Analysis!V42</f>
        <v>1.5000000000000002</v>
      </c>
      <c r="W195" s="10">
        <f ca="1">+Analysis!W42</f>
        <v>52.923394877037332</v>
      </c>
      <c r="X195" t="str">
        <f ca="1">+Analysis!X42</f>
        <v>-</v>
      </c>
    </row>
  </sheetData>
  <mergeCells count="1">
    <mergeCell ref="A1:A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D09B-578F-4032-A6AA-F6B3A945A4D6}">
  <dimension ref="A1:X63"/>
  <sheetViews>
    <sheetView zoomScale="80" zoomScaleNormal="80" workbookViewId="0">
      <pane xSplit="4" ySplit="2" topLeftCell="E39" activePane="bottomRight" state="frozen"/>
      <selection activeCell="B5" sqref="B5"/>
      <selection pane="topRight" activeCell="B5" sqref="B5"/>
      <selection pane="bottomLeft" activeCell="B5" sqref="B5"/>
      <selection pane="bottomRight" activeCell="A42" sqref="A42"/>
    </sheetView>
  </sheetViews>
  <sheetFormatPr defaultRowHeight="14.4" x14ac:dyDescent="0.3"/>
  <cols>
    <col min="1" max="1" width="35.77734375" customWidth="1"/>
    <col min="2" max="3" width="10.77734375" customWidth="1"/>
    <col min="4" max="4" width="1.5546875" customWidth="1"/>
    <col min="5" max="8" width="10.5546875" bestFit="1" customWidth="1"/>
    <col min="13" max="13" width="10.77734375" customWidth="1"/>
  </cols>
  <sheetData>
    <row r="1" spans="1:24" x14ac:dyDescent="0.3">
      <c r="A1" s="70" t="s">
        <v>9</v>
      </c>
      <c r="E1" s="4">
        <f>+Macro!E1</f>
        <v>1</v>
      </c>
      <c r="F1" s="4">
        <f>+Macro!F1</f>
        <v>2</v>
      </c>
      <c r="G1" s="4">
        <f>+Macro!G1</f>
        <v>3</v>
      </c>
      <c r="H1" s="4">
        <f>+Macro!H1</f>
        <v>4</v>
      </c>
      <c r="I1" s="4">
        <f>+Macro!I1</f>
        <v>5</v>
      </c>
      <c r="J1" s="4">
        <f>+Macro!J1</f>
        <v>6</v>
      </c>
      <c r="K1" s="4">
        <f>+Macro!K1</f>
        <v>7</v>
      </c>
      <c r="L1" s="4">
        <f>+Macro!L1</f>
        <v>8</v>
      </c>
      <c r="M1" s="4">
        <f>+Macro!M1</f>
        <v>9</v>
      </c>
      <c r="N1" s="4">
        <f>+Macro!N1</f>
        <v>10</v>
      </c>
      <c r="O1" s="4">
        <f>+Macro!O1</f>
        <v>11</v>
      </c>
      <c r="P1" s="4">
        <f>+Macro!P1</f>
        <v>12</v>
      </c>
      <c r="Q1" s="4">
        <f>+Macro!Q1</f>
        <v>13</v>
      </c>
      <c r="R1" s="4">
        <f>+Macro!R1</f>
        <v>14</v>
      </c>
      <c r="S1" s="4">
        <f>+Macro!S1</f>
        <v>15</v>
      </c>
      <c r="T1" s="4">
        <f>+Macro!T1</f>
        <v>16</v>
      </c>
      <c r="U1" s="4">
        <f>+Macro!U1</f>
        <v>17</v>
      </c>
      <c r="V1" s="4">
        <f>+Macro!V1</f>
        <v>18</v>
      </c>
      <c r="W1" s="4">
        <f>+Macro!W1</f>
        <v>19</v>
      </c>
      <c r="X1" s="4">
        <f>+Macro!X1</f>
        <v>20</v>
      </c>
    </row>
    <row r="2" spans="1:24" x14ac:dyDescent="0.3">
      <c r="A2" s="70"/>
      <c r="E2" s="8" t="str">
        <f>+Macro!E2</f>
        <v>1Q 2024</v>
      </c>
      <c r="F2" s="8" t="str">
        <f>+Macro!F2</f>
        <v>2Q 2024</v>
      </c>
      <c r="G2" s="8" t="str">
        <f>+Macro!G2</f>
        <v>3Q 2024</v>
      </c>
      <c r="H2" s="8" t="str">
        <f>+Macro!H2</f>
        <v>4Q 2024</v>
      </c>
      <c r="I2" s="8" t="str">
        <f>+Macro!I2</f>
        <v>1Q 2025</v>
      </c>
      <c r="J2" s="8" t="str">
        <f>+Macro!J2</f>
        <v>2Q 2025</v>
      </c>
      <c r="K2" s="8" t="str">
        <f>+Macro!K2</f>
        <v>3Q 2025</v>
      </c>
      <c r="L2" s="8" t="str">
        <f>+Macro!L2</f>
        <v>4Q 2025</v>
      </c>
      <c r="M2" s="8" t="str">
        <f>+Macro!M2</f>
        <v>1Q 2026</v>
      </c>
      <c r="N2" s="8" t="str">
        <f>+Macro!N2</f>
        <v>2Q 2026</v>
      </c>
      <c r="O2" s="8" t="str">
        <f>+Macro!O2</f>
        <v>3Q 2026</v>
      </c>
      <c r="P2" s="8" t="str">
        <f>+Macro!P2</f>
        <v>4Q 2026</v>
      </c>
      <c r="Q2" s="8" t="str">
        <f>+Macro!Q2</f>
        <v>1Q 2027</v>
      </c>
      <c r="R2" s="8" t="str">
        <f>+Macro!R2</f>
        <v>2Q 2027</v>
      </c>
      <c r="S2" s="8" t="str">
        <f>+Macro!S2</f>
        <v>3Q 2027</v>
      </c>
      <c r="T2" s="8" t="str">
        <f>+Macro!T2</f>
        <v>4Q 2027</v>
      </c>
      <c r="U2" s="8" t="str">
        <f>+Macro!U2</f>
        <v>1Q 2028</v>
      </c>
      <c r="V2" s="8" t="str">
        <f>+Macro!V2</f>
        <v>2Q 2028</v>
      </c>
      <c r="W2" s="8" t="str">
        <f>+Macro!W2</f>
        <v>3Q 2028</v>
      </c>
      <c r="X2" s="8" t="str">
        <f>+Macro!X2</f>
        <v>4Q 2028</v>
      </c>
    </row>
    <row r="4" spans="1:24" ht="24.6" customHeight="1" thickBot="1" x14ac:dyDescent="0.35">
      <c r="A4" s="6" t="s">
        <v>111</v>
      </c>
      <c r="B4" s="6"/>
      <c r="C4" s="6"/>
      <c r="D4" s="6"/>
      <c r="E4" s="7" t="str">
        <f t="shared" ref="E4:X4" si="0">+E$2</f>
        <v>1Q 2024</v>
      </c>
      <c r="F4" s="7" t="str">
        <f t="shared" si="0"/>
        <v>2Q 2024</v>
      </c>
      <c r="G4" s="7" t="str">
        <f t="shared" si="0"/>
        <v>3Q 2024</v>
      </c>
      <c r="H4" s="7" t="str">
        <f t="shared" si="0"/>
        <v>4Q 2024</v>
      </c>
      <c r="I4" s="7" t="str">
        <f>+I$2</f>
        <v>1Q 2025</v>
      </c>
      <c r="J4" s="7" t="str">
        <f t="shared" si="0"/>
        <v>2Q 2025</v>
      </c>
      <c r="K4" s="7" t="str">
        <f t="shared" si="0"/>
        <v>3Q 2025</v>
      </c>
      <c r="L4" s="7" t="str">
        <f t="shared" si="0"/>
        <v>4Q 2025</v>
      </c>
      <c r="M4" s="7" t="str">
        <f t="shared" si="0"/>
        <v>1Q 2026</v>
      </c>
      <c r="N4" s="7" t="str">
        <f t="shared" si="0"/>
        <v>2Q 2026</v>
      </c>
      <c r="O4" s="7" t="str">
        <f t="shared" si="0"/>
        <v>3Q 2026</v>
      </c>
      <c r="P4" s="7" t="str">
        <f t="shared" si="0"/>
        <v>4Q 2026</v>
      </c>
      <c r="Q4" s="7" t="str">
        <f t="shared" si="0"/>
        <v>1Q 2027</v>
      </c>
      <c r="R4" s="7" t="str">
        <f t="shared" si="0"/>
        <v>2Q 2027</v>
      </c>
      <c r="S4" s="7" t="str">
        <f t="shared" si="0"/>
        <v>3Q 2027</v>
      </c>
      <c r="T4" s="7" t="str">
        <f t="shared" si="0"/>
        <v>4Q 2027</v>
      </c>
      <c r="U4" s="7" t="str">
        <f t="shared" si="0"/>
        <v>1Q 2028</v>
      </c>
      <c r="V4" s="7" t="str">
        <f t="shared" si="0"/>
        <v>2Q 2028</v>
      </c>
      <c r="W4" s="7" t="str">
        <f t="shared" si="0"/>
        <v>3Q 2028</v>
      </c>
      <c r="X4" s="7" t="str">
        <f t="shared" si="0"/>
        <v>4Q 2028</v>
      </c>
    </row>
    <row r="5" spans="1:24" ht="15" thickTop="1" x14ac:dyDescent="0.3"/>
    <row r="6" spans="1:24" x14ac:dyDescent="0.3">
      <c r="A6" t="s">
        <v>112</v>
      </c>
      <c r="C6" t="str">
        <f t="shared" ref="C6:C11" si="1">+Currency</f>
        <v>Rub '000'</v>
      </c>
      <c r="E6" s="38">
        <f>+Assumptions!E20</f>
        <v>0</v>
      </c>
      <c r="F6" s="38">
        <f>+Assumptions!F20</f>
        <v>0</v>
      </c>
      <c r="G6" s="38">
        <f>+Assumptions!G20</f>
        <v>448713.717196165</v>
      </c>
      <c r="H6" s="38">
        <f>+Assumptions!H20</f>
        <v>453135.07587579777</v>
      </c>
      <c r="I6" s="38">
        <f>+Assumptions!I20</f>
        <v>457599.99999999977</v>
      </c>
      <c r="J6" s="38">
        <f>+Assumptions!J20</f>
        <v>462108.91883680795</v>
      </c>
      <c r="K6" s="38">
        <f>+Assumptions!K20</f>
        <v>466662.26588401152</v>
      </c>
      <c r="L6" s="38">
        <f>+Assumptions!L20</f>
        <v>471260.47891082964</v>
      </c>
      <c r="M6" s="38">
        <f>+Assumptions!M20</f>
        <v>475903.99999999977</v>
      </c>
      <c r="N6" s="38">
        <f>+Assumptions!N20</f>
        <v>480593.2755902803</v>
      </c>
      <c r="O6" s="38">
        <f>+Assumptions!O20</f>
        <v>485328.75651937193</v>
      </c>
      <c r="P6" s="38">
        <f>+Assumptions!P20</f>
        <v>490110.89806726284</v>
      </c>
      <c r="Q6" s="38">
        <f>+Assumptions!Q20</f>
        <v>494940.15999999968</v>
      </c>
      <c r="R6" s="38">
        <f>+Assumptions!R20</f>
        <v>499817.00661389146</v>
      </c>
      <c r="S6" s="38">
        <f>+Assumptions!S20</f>
        <v>504741.90678014676</v>
      </c>
      <c r="T6" s="38">
        <f>+Assumptions!T20</f>
        <v>509715.33398995327</v>
      </c>
      <c r="U6" s="38">
        <f>+Assumptions!U20</f>
        <v>514737.76639999973</v>
      </c>
      <c r="V6" s="38">
        <f>+Assumptions!V20</f>
        <v>519809.68687844696</v>
      </c>
      <c r="W6" s="38">
        <f>+Assumptions!W20</f>
        <v>524931.58305135253</v>
      </c>
      <c r="X6" s="38">
        <f>+Assumptions!X20</f>
        <v>530103.94734955125</v>
      </c>
    </row>
    <row r="7" spans="1:24" x14ac:dyDescent="0.3">
      <c r="A7" t="s">
        <v>113</v>
      </c>
      <c r="C7" t="str">
        <f t="shared" si="1"/>
        <v>Rub '000'</v>
      </c>
      <c r="E7" s="38">
        <f>+-Assumptions!E65</f>
        <v>0</v>
      </c>
      <c r="F7" s="38">
        <f>+-Assumptions!F65</f>
        <v>0</v>
      </c>
      <c r="G7" s="38">
        <f>+-Assumptions!G65</f>
        <v>-220522.39592386072</v>
      </c>
      <c r="H7" s="38">
        <f>+-Assumptions!H65</f>
        <v>-222695.2927440512</v>
      </c>
      <c r="I7" s="38">
        <f>+-Assumptions!I65</f>
        <v>-224889.59999999989</v>
      </c>
      <c r="J7" s="38">
        <f>+-Assumptions!J65</f>
        <v>-227105.52865743492</v>
      </c>
      <c r="K7" s="38">
        <f>+-Assumptions!K65</f>
        <v>-229343.29176081513</v>
      </c>
      <c r="L7" s="38">
        <f>+-Assumptions!L65</f>
        <v>-231603.10445381317</v>
      </c>
      <c r="M7" s="38">
        <f>+-Assumptions!M65</f>
        <v>-233885.18399999989</v>
      </c>
      <c r="N7" s="38">
        <f>+-Assumptions!N65</f>
        <v>-236189.74980373227</v>
      </c>
      <c r="O7" s="38">
        <f>+-Assumptions!O65</f>
        <v>-238517.02343124768</v>
      </c>
      <c r="P7" s="38">
        <f>+-Assumptions!P65</f>
        <v>-240867.2286319657</v>
      </c>
      <c r="Q7" s="38">
        <f>+-Assumptions!Q65</f>
        <v>-243240.59135999987</v>
      </c>
      <c r="R7" s="38">
        <f>+-Assumptions!R65</f>
        <v>-245637.33979588156</v>
      </c>
      <c r="S7" s="38">
        <f>+-Assumptions!S65</f>
        <v>-248057.70436849759</v>
      </c>
      <c r="T7" s="38">
        <f>+-Assumptions!T65</f>
        <v>-250501.91777724432</v>
      </c>
      <c r="U7" s="38">
        <f>+-Assumptions!U65</f>
        <v>-252970.2150143999</v>
      </c>
      <c r="V7" s="38">
        <f>+-Assumptions!V65</f>
        <v>-255462.83338771679</v>
      </c>
      <c r="W7" s="38">
        <f>+-Assumptions!W65</f>
        <v>-257980.01254323748</v>
      </c>
      <c r="X7" s="38">
        <f>+-Assumptions!X65</f>
        <v>-260521.99448833399</v>
      </c>
    </row>
    <row r="8" spans="1:24" x14ac:dyDescent="0.3">
      <c r="A8" t="s">
        <v>114</v>
      </c>
      <c r="C8" t="str">
        <f t="shared" si="1"/>
        <v>Rub '000'</v>
      </c>
      <c r="E8" s="38">
        <f>+-Assumptions!E93</f>
        <v>0</v>
      </c>
      <c r="F8" s="38">
        <f>+-Assumptions!F93</f>
        <v>0</v>
      </c>
      <c r="G8" s="38">
        <f>+-Assumptions!G93</f>
        <v>-83674.910218057586</v>
      </c>
      <c r="H8" s="38">
        <f>+-Assumptions!H93</f>
        <v>-84499.393126384573</v>
      </c>
      <c r="I8" s="38">
        <f>+-Assumptions!I93</f>
        <v>-85331.999999999971</v>
      </c>
      <c r="J8" s="38">
        <f>+-Assumptions!J93</f>
        <v>-86172.810887636573</v>
      </c>
      <c r="K8" s="38">
        <f>+-Assumptions!K93</f>
        <v>-87021.906626779877</v>
      </c>
      <c r="L8" s="38">
        <f>+-Assumptions!L93</f>
        <v>-87879.36885143994</v>
      </c>
      <c r="M8" s="38">
        <f>+-Assumptions!M93</f>
        <v>-88745.279999999955</v>
      </c>
      <c r="N8" s="38">
        <f>+-Assumptions!N93</f>
        <v>-89619.723323142025</v>
      </c>
      <c r="O8" s="38">
        <f>+-Assumptions!O93</f>
        <v>-90502.782891851064</v>
      </c>
      <c r="P8" s="38">
        <f>+-Assumptions!P93</f>
        <v>-91394.543605497529</v>
      </c>
      <c r="Q8" s="38">
        <f>+-Assumptions!Q93</f>
        <v>-92295.091199999952</v>
      </c>
      <c r="R8" s="38">
        <f>+-Assumptions!R93</f>
        <v>-93204.512256067712</v>
      </c>
      <c r="S8" s="38">
        <f>+-Assumptions!S93</f>
        <v>-94122.894207525096</v>
      </c>
      <c r="T8" s="38">
        <f>+-Assumptions!T93</f>
        <v>-95050.32534971743</v>
      </c>
      <c r="U8" s="38">
        <f>+-Assumptions!U93</f>
        <v>-95986.894847999938</v>
      </c>
      <c r="V8" s="38">
        <f>+-Assumptions!V93</f>
        <v>-96932.692746310378</v>
      </c>
      <c r="W8" s="38">
        <f>+-Assumptions!W93</f>
        <v>-97887.80997582608</v>
      </c>
      <c r="X8" s="38">
        <f>+-Assumptions!X93</f>
        <v>-98852.338363706091</v>
      </c>
    </row>
    <row r="9" spans="1:24" x14ac:dyDescent="0.3">
      <c r="A9" t="s">
        <v>115</v>
      </c>
      <c r="C9" t="str">
        <f t="shared" si="1"/>
        <v>Rub '000'</v>
      </c>
      <c r="E9" s="38">
        <f>+-Assumptions!E130</f>
        <v>0</v>
      </c>
      <c r="F9" s="38">
        <f>+-Assumptions!F130</f>
        <v>0</v>
      </c>
      <c r="G9" s="38">
        <f>+-Assumptions!G130</f>
        <v>-38380.319878812887</v>
      </c>
      <c r="H9" s="38">
        <f>+-Assumptions!H130</f>
        <v>-38758.496774058294</v>
      </c>
      <c r="I9" s="38">
        <f>+-Assumptions!I130</f>
        <v>-39140.399999999987</v>
      </c>
      <c r="J9" s="38">
        <f>+-Assumptions!J130</f>
        <v>-39526.066273689241</v>
      </c>
      <c r="K9" s="38">
        <f>+-Assumptions!K130</f>
        <v>-39915.532673965397</v>
      </c>
      <c r="L9" s="38">
        <f>+-Assumptions!L130</f>
        <v>-40308.836645020623</v>
      </c>
      <c r="M9" s="38">
        <f>+-Assumptions!M130</f>
        <v>-40706.015999999981</v>
      </c>
      <c r="N9" s="38">
        <f>+-Assumptions!N130</f>
        <v>-41107.108924636806</v>
      </c>
      <c r="O9" s="38">
        <f>+-Assumptions!O130</f>
        <v>-41512.153980924006</v>
      </c>
      <c r="P9" s="38">
        <f>+-Assumptions!P130</f>
        <v>-41921.190110821444</v>
      </c>
      <c r="Q9" s="38">
        <f>+-Assumptions!Q130</f>
        <v>-42334.256639999978</v>
      </c>
      <c r="R9" s="38">
        <f>+-Assumptions!R130</f>
        <v>-42751.393281622288</v>
      </c>
      <c r="S9" s="38">
        <f>+-Assumptions!S130</f>
        <v>-43172.640140160962</v>
      </c>
      <c r="T9" s="38">
        <f>+-Assumptions!T130</f>
        <v>-43598.037715254301</v>
      </c>
      <c r="U9" s="38">
        <f>+-Assumptions!U130</f>
        <v>-44027.626905599973</v>
      </c>
      <c r="V9" s="38">
        <f>+-Assumptions!V130</f>
        <v>-44461.449012887169</v>
      </c>
      <c r="W9" s="38">
        <f>+-Assumptions!W130</f>
        <v>-44899.545745767391</v>
      </c>
      <c r="X9" s="38">
        <f>+-Assumptions!X130</f>
        <v>-45341.959223864455</v>
      </c>
    </row>
    <row r="10" spans="1:24" x14ac:dyDescent="0.3">
      <c r="A10" t="s">
        <v>116</v>
      </c>
      <c r="C10" t="str">
        <f t="shared" si="1"/>
        <v>Rub '000'</v>
      </c>
      <c r="E10" s="38">
        <f>+-Assumptions!E166</f>
        <v>0</v>
      </c>
      <c r="F10" s="38">
        <f>+-Assumptions!F166</f>
        <v>0</v>
      </c>
      <c r="G10" s="38">
        <f>+-Assumptions!G166</f>
        <v>-2895.75</v>
      </c>
      <c r="H10" s="38">
        <f>+-Assumptions!H166</f>
        <v>-5717.25</v>
      </c>
      <c r="I10" s="38">
        <f>+-Assumptions!I166</f>
        <v>-5568.75</v>
      </c>
      <c r="J10" s="38">
        <f>+-Assumptions!J166</f>
        <v>-5420.25</v>
      </c>
      <c r="K10" s="38">
        <f>+-Assumptions!K166</f>
        <v>-5271.75</v>
      </c>
      <c r="L10" s="38">
        <f>+-Assumptions!L166</f>
        <v>-5123.25</v>
      </c>
      <c r="M10" s="38">
        <f>+-Assumptions!M166</f>
        <v>-4974.75</v>
      </c>
      <c r="N10" s="38">
        <f>+-Assumptions!N166</f>
        <v>-4826.25</v>
      </c>
      <c r="O10" s="38">
        <f>+-Assumptions!O166</f>
        <v>-4677.75</v>
      </c>
      <c r="P10" s="38">
        <f>+-Assumptions!P166</f>
        <v>-4529.25</v>
      </c>
      <c r="Q10" s="38">
        <f>+-Assumptions!Q166</f>
        <v>-4380.75</v>
      </c>
      <c r="R10" s="38">
        <f>+-Assumptions!R166</f>
        <v>-4232.25</v>
      </c>
      <c r="S10" s="38">
        <f>+-Assumptions!S166</f>
        <v>-4083.7499999999991</v>
      </c>
      <c r="T10" s="38">
        <f>+-Assumptions!T166</f>
        <v>-3935.2499999999991</v>
      </c>
      <c r="U10" s="38">
        <f>+-Assumptions!U166</f>
        <v>-3786.75</v>
      </c>
      <c r="V10" s="38">
        <f>+-Assumptions!V166</f>
        <v>-3638.25</v>
      </c>
      <c r="W10" s="38">
        <f>+-Assumptions!W166</f>
        <v>-3489.75</v>
      </c>
      <c r="X10" s="38">
        <f>+-Assumptions!X166</f>
        <v>-3341.25</v>
      </c>
    </row>
    <row r="11" spans="1:24" s="16" customFormat="1" x14ac:dyDescent="0.3">
      <c r="A11" s="16" t="s">
        <v>117</v>
      </c>
      <c r="C11" s="16" t="str">
        <f t="shared" si="1"/>
        <v>Rub '000'</v>
      </c>
      <c r="E11" s="35">
        <f>+SUM(E6:E10)</f>
        <v>0</v>
      </c>
      <c r="F11" s="35">
        <f t="shared" ref="F11:X11" si="2">+SUM(F6:F10)</f>
        <v>0</v>
      </c>
      <c r="G11" s="35">
        <f t="shared" si="2"/>
        <v>103240.34117543383</v>
      </c>
      <c r="H11" s="35">
        <f t="shared" si="2"/>
        <v>101464.64323130369</v>
      </c>
      <c r="I11" s="35">
        <f t="shared" si="2"/>
        <v>102669.24999999991</v>
      </c>
      <c r="J11" s="35">
        <f t="shared" si="2"/>
        <v>103884.26301804723</v>
      </c>
      <c r="K11" s="35">
        <f t="shared" si="2"/>
        <v>105109.78482245111</v>
      </c>
      <c r="L11" s="35">
        <f t="shared" si="2"/>
        <v>106345.91896055591</v>
      </c>
      <c r="M11" s="35">
        <f t="shared" si="2"/>
        <v>107592.76999999993</v>
      </c>
      <c r="N11" s="35">
        <f t="shared" si="2"/>
        <v>108850.44353876919</v>
      </c>
      <c r="O11" s="35">
        <f t="shared" si="2"/>
        <v>110119.04621534918</v>
      </c>
      <c r="P11" s="35">
        <f t="shared" si="2"/>
        <v>111398.68571897817</v>
      </c>
      <c r="Q11" s="35">
        <f t="shared" si="2"/>
        <v>112689.47079999989</v>
      </c>
      <c r="R11" s="35">
        <f t="shared" si="2"/>
        <v>113991.51128031989</v>
      </c>
      <c r="S11" s="35">
        <f t="shared" si="2"/>
        <v>115304.91806396311</v>
      </c>
      <c r="T11" s="35">
        <f t="shared" si="2"/>
        <v>116629.80314773723</v>
      </c>
      <c r="U11" s="35">
        <f t="shared" si="2"/>
        <v>117966.27963199992</v>
      </c>
      <c r="V11" s="35">
        <f t="shared" si="2"/>
        <v>119314.46173153262</v>
      </c>
      <c r="W11" s="35">
        <f t="shared" si="2"/>
        <v>120674.4647865216</v>
      </c>
      <c r="X11" s="35">
        <f t="shared" si="2"/>
        <v>122046.40527364673</v>
      </c>
    </row>
    <row r="12" spans="1:24" x14ac:dyDescent="0.3"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spans="1:24" x14ac:dyDescent="0.3">
      <c r="A13" t="s">
        <v>118</v>
      </c>
      <c r="C13" t="str">
        <f t="shared" ref="C13:C18" si="3">+Currency</f>
        <v>Rub '000'</v>
      </c>
      <c r="E13" s="38">
        <f>+-Assumptions!E144</f>
        <v>0</v>
      </c>
      <c r="F13" s="38">
        <f>+-Assumptions!F144</f>
        <v>0</v>
      </c>
      <c r="G13" s="38">
        <f>+-Assumptions!G144</f>
        <v>-27000</v>
      </c>
      <c r="H13" s="38">
        <f>+-Assumptions!H144</f>
        <v>-27000</v>
      </c>
      <c r="I13" s="38">
        <f>+-Assumptions!I144</f>
        <v>-27000</v>
      </c>
      <c r="J13" s="38">
        <f>+-Assumptions!J144</f>
        <v>-27000</v>
      </c>
      <c r="K13" s="38">
        <f>+-Assumptions!K144</f>
        <v>-27000</v>
      </c>
      <c r="L13" s="38">
        <f>+-Assumptions!L144</f>
        <v>-27000</v>
      </c>
      <c r="M13" s="38">
        <f>+-Assumptions!M144</f>
        <v>-27000</v>
      </c>
      <c r="N13" s="38">
        <f>+-Assumptions!N144</f>
        <v>-27000</v>
      </c>
      <c r="O13" s="38">
        <f>+-Assumptions!O144</f>
        <v>-27000</v>
      </c>
      <c r="P13" s="38">
        <f>+-Assumptions!P144</f>
        <v>-27000</v>
      </c>
      <c r="Q13" s="38">
        <f>+-Assumptions!Q144</f>
        <v>-27000</v>
      </c>
      <c r="R13" s="38">
        <f>+-Assumptions!R144</f>
        <v>-27000</v>
      </c>
      <c r="S13" s="38">
        <f>+-Assumptions!S144</f>
        <v>-27000</v>
      </c>
      <c r="T13" s="38">
        <f>+-Assumptions!T144</f>
        <v>-27000</v>
      </c>
      <c r="U13" s="38">
        <f>+-Assumptions!U144</f>
        <v>-27000</v>
      </c>
      <c r="V13" s="38">
        <f>+-Assumptions!V144</f>
        <v>-27000</v>
      </c>
      <c r="W13" s="38">
        <f>+-Assumptions!W144</f>
        <v>-27000</v>
      </c>
      <c r="X13" s="38">
        <f>+-Assumptions!X144</f>
        <v>-27000</v>
      </c>
    </row>
    <row r="14" spans="1:24" x14ac:dyDescent="0.3">
      <c r="A14" t="s">
        <v>119</v>
      </c>
      <c r="C14" t="str">
        <f t="shared" si="3"/>
        <v>Rub '000'</v>
      </c>
      <c r="E14" s="38">
        <f>+E11+E13</f>
        <v>0</v>
      </c>
      <c r="F14" s="38">
        <f t="shared" ref="F14:X14" si="4">+F11+F13</f>
        <v>0</v>
      </c>
      <c r="G14" s="38">
        <f t="shared" si="4"/>
        <v>76240.34117543383</v>
      </c>
      <c r="H14" s="38">
        <f t="shared" si="4"/>
        <v>74464.643231303693</v>
      </c>
      <c r="I14" s="38">
        <f t="shared" si="4"/>
        <v>75669.249999999913</v>
      </c>
      <c r="J14" s="38">
        <f t="shared" si="4"/>
        <v>76884.263018047233</v>
      </c>
      <c r="K14" s="38">
        <f t="shared" si="4"/>
        <v>78109.784822451111</v>
      </c>
      <c r="L14" s="38">
        <f t="shared" si="4"/>
        <v>79345.918960555908</v>
      </c>
      <c r="M14" s="38">
        <f t="shared" si="4"/>
        <v>80592.769999999931</v>
      </c>
      <c r="N14" s="38">
        <f t="shared" si="4"/>
        <v>81850.443538769192</v>
      </c>
      <c r="O14" s="38">
        <f t="shared" si="4"/>
        <v>83119.046215349183</v>
      </c>
      <c r="P14" s="38">
        <f t="shared" si="4"/>
        <v>84398.685718978173</v>
      </c>
      <c r="Q14" s="38">
        <f t="shared" si="4"/>
        <v>85689.470799999894</v>
      </c>
      <c r="R14" s="38">
        <f t="shared" si="4"/>
        <v>86991.511280319886</v>
      </c>
      <c r="S14" s="38">
        <f t="shared" si="4"/>
        <v>88304.918063963109</v>
      </c>
      <c r="T14" s="38">
        <f t="shared" si="4"/>
        <v>89629.803147737228</v>
      </c>
      <c r="U14" s="38">
        <f t="shared" si="4"/>
        <v>90966.279631999918</v>
      </c>
      <c r="V14" s="38">
        <f t="shared" si="4"/>
        <v>92314.461731532618</v>
      </c>
      <c r="W14" s="38">
        <f t="shared" si="4"/>
        <v>93674.464786521596</v>
      </c>
      <c r="X14" s="38">
        <f t="shared" si="4"/>
        <v>95046.405273646727</v>
      </c>
    </row>
    <row r="15" spans="1:24" x14ac:dyDescent="0.3">
      <c r="A15" t="s">
        <v>120</v>
      </c>
      <c r="C15" t="str">
        <f t="shared" si="3"/>
        <v>Rub '000'</v>
      </c>
      <c r="E15" s="38">
        <f ca="1">+-Assumptions!E191</f>
        <v>-1282.0512820512829</v>
      </c>
      <c r="F15" s="38">
        <f ca="1">+-Assumptions!F191</f>
        <v>-17468.770545693616</v>
      </c>
      <c r="G15" s="38">
        <f ca="1">+-Assumptions!G191</f>
        <v>-19398.422588700756</v>
      </c>
      <c r="H15" s="38">
        <f ca="1">+-Assumptions!H191</f>
        <v>-19398.422588700756</v>
      </c>
      <c r="I15" s="38">
        <f ca="1">+-Assumptions!I191</f>
        <v>-18401.053317377558</v>
      </c>
      <c r="J15" s="38">
        <f ca="1">+-Assumptions!J191</f>
        <v>-17366.261196550277</v>
      </c>
      <c r="K15" s="38">
        <f ca="1">+-Assumptions!K191</f>
        <v>-16293.099093847286</v>
      </c>
      <c r="L15" s="38">
        <f ca="1">+-Assumptions!L191</f>
        <v>-15180.598012637187</v>
      </c>
      <c r="M15" s="38">
        <f ca="1">+-Assumptions!M191</f>
        <v>-14027.766605069475</v>
      </c>
      <c r="N15" s="38">
        <f ca="1">+-Assumptions!N191</f>
        <v>-12833.590674434034</v>
      </c>
      <c r="O15" s="38">
        <f ca="1">+-Assumptions!O191</f>
        <v>-11597.032666606729</v>
      </c>
      <c r="P15" s="38">
        <f ca="1">+-Assumptions!P191</f>
        <v>-10317.031150343346</v>
      </c>
      <c r="Q15" s="38">
        <f ca="1">+-Assumptions!Q191</f>
        <v>-8992.500286178938</v>
      </c>
      <c r="R15" s="38">
        <f ca="1">+-Assumptions!R191</f>
        <v>-7622.3292836843902</v>
      </c>
      <c r="S15" s="38">
        <f ca="1">+-Assumptions!S191</f>
        <v>-6205.3818468265763</v>
      </c>
      <c r="T15" s="38">
        <f ca="1">+-Assumptions!T191</f>
        <v>-4740.4956071730294</v>
      </c>
      <c r="U15" s="38">
        <f ca="1">+-Assumptions!U191</f>
        <v>-3226.4815446763923</v>
      </c>
      <c r="V15" s="38">
        <f ca="1">+-Assumptions!V191</f>
        <v>-1662.1233957681529</v>
      </c>
      <c r="W15" s="38">
        <f ca="1">+-Assumptions!W191</f>
        <v>-46.177048485313939</v>
      </c>
      <c r="X15" s="38">
        <f ca="1">+-Assumptions!X191</f>
        <v>-1.5279510989785195E-11</v>
      </c>
    </row>
    <row r="16" spans="1:24" x14ac:dyDescent="0.3">
      <c r="A16" t="s">
        <v>121</v>
      </c>
      <c r="C16" t="str">
        <f t="shared" si="3"/>
        <v>Rub '000'</v>
      </c>
      <c r="E16" s="38">
        <f ca="1">+E14+E15</f>
        <v>-1282.0512820512829</v>
      </c>
      <c r="F16" s="38">
        <f t="shared" ref="F16:X16" ca="1" si="5">+F14+F15</f>
        <v>-17468.770545693616</v>
      </c>
      <c r="G16" s="38">
        <f t="shared" ca="1" si="5"/>
        <v>56841.918586733074</v>
      </c>
      <c r="H16" s="38">
        <f t="shared" ca="1" si="5"/>
        <v>55066.220642602937</v>
      </c>
      <c r="I16" s="38">
        <f t="shared" ca="1" si="5"/>
        <v>57268.196682622351</v>
      </c>
      <c r="J16" s="38">
        <f t="shared" ca="1" si="5"/>
        <v>59518.00182149696</v>
      </c>
      <c r="K16" s="38">
        <f t="shared" ca="1" si="5"/>
        <v>61816.685728603828</v>
      </c>
      <c r="L16" s="38">
        <f t="shared" ca="1" si="5"/>
        <v>64165.320947918721</v>
      </c>
      <c r="M16" s="38">
        <f t="shared" ca="1" si="5"/>
        <v>66565.003394930449</v>
      </c>
      <c r="N16" s="38">
        <f t="shared" ca="1" si="5"/>
        <v>69016.85286433516</v>
      </c>
      <c r="O16" s="38">
        <f t="shared" ca="1" si="5"/>
        <v>71522.013548742456</v>
      </c>
      <c r="P16" s="38">
        <f t="shared" ca="1" si="5"/>
        <v>74081.654568634825</v>
      </c>
      <c r="Q16" s="38">
        <f t="shared" ca="1" si="5"/>
        <v>76696.970513820954</v>
      </c>
      <c r="R16" s="38">
        <f t="shared" ca="1" si="5"/>
        <v>79369.181996635496</v>
      </c>
      <c r="S16" s="38">
        <f t="shared" ca="1" si="5"/>
        <v>82099.536217136527</v>
      </c>
      <c r="T16" s="38">
        <f t="shared" ca="1" si="5"/>
        <v>84889.307540564201</v>
      </c>
      <c r="U16" s="38">
        <f t="shared" ca="1" si="5"/>
        <v>87739.798087323521</v>
      </c>
      <c r="V16" s="38">
        <f t="shared" ca="1" si="5"/>
        <v>90652.338335764463</v>
      </c>
      <c r="W16" s="38">
        <f t="shared" ca="1" si="5"/>
        <v>93628.287738036277</v>
      </c>
      <c r="X16" s="38">
        <f t="shared" ca="1" si="5"/>
        <v>95046.405273646713</v>
      </c>
    </row>
    <row r="17" spans="1:24" x14ac:dyDescent="0.3">
      <c r="A17" t="s">
        <v>122</v>
      </c>
      <c r="C17" t="str">
        <f t="shared" si="3"/>
        <v>Rub '000'</v>
      </c>
      <c r="E17" s="38">
        <f ca="1">+-Assumptions!E171</f>
        <v>0</v>
      </c>
      <c r="F17" s="38">
        <f ca="1">+-Assumptions!F171</f>
        <v>0</v>
      </c>
      <c r="G17" s="38">
        <f ca="1">+-Assumptions!G171</f>
        <v>-7618.2193517976357</v>
      </c>
      <c r="H17" s="38">
        <f ca="1">+-Assumptions!H171</f>
        <v>-11013.244128520588</v>
      </c>
      <c r="I17" s="38">
        <f ca="1">+-Assumptions!I171</f>
        <v>-11453.639336524471</v>
      </c>
      <c r="J17" s="38">
        <f ca="1">+-Assumptions!J171</f>
        <v>-11903.600364299393</v>
      </c>
      <c r="K17" s="38">
        <f ca="1">+-Assumptions!K171</f>
        <v>-12363.337145720767</v>
      </c>
      <c r="L17" s="38">
        <f ca="1">+-Assumptions!L171</f>
        <v>-12833.064189583745</v>
      </c>
      <c r="M17" s="38">
        <f ca="1">+-Assumptions!M171</f>
        <v>-13313.000678986091</v>
      </c>
      <c r="N17" s="38">
        <f ca="1">+-Assumptions!N171</f>
        <v>-13803.370572867032</v>
      </c>
      <c r="O17" s="38">
        <f ca="1">+-Assumptions!O171</f>
        <v>-14304.402709748492</v>
      </c>
      <c r="P17" s="38">
        <f ca="1">+-Assumptions!P171</f>
        <v>-14816.330913726966</v>
      </c>
      <c r="Q17" s="38">
        <f ca="1">+-Assumptions!Q171</f>
        <v>-15339.394102764192</v>
      </c>
      <c r="R17" s="38">
        <f ca="1">+-Assumptions!R171</f>
        <v>-15873.8363993271</v>
      </c>
      <c r="S17" s="38">
        <f ca="1">+-Assumptions!S171</f>
        <v>-16419.907243427308</v>
      </c>
      <c r="T17" s="38">
        <f ca="1">+-Assumptions!T171</f>
        <v>-16977.861508112841</v>
      </c>
      <c r="U17" s="38">
        <f ca="1">+-Assumptions!U171</f>
        <v>-17547.959617464705</v>
      </c>
      <c r="V17" s="38">
        <f ca="1">+-Assumptions!V171</f>
        <v>-18130.467667152894</v>
      </c>
      <c r="W17" s="38">
        <f ca="1">+-Assumptions!W171</f>
        <v>-18725.657547607258</v>
      </c>
      <c r="X17" s="38">
        <f ca="1">+-Assumptions!X171</f>
        <v>-19009.281054729337</v>
      </c>
    </row>
    <row r="18" spans="1:24" s="16" customFormat="1" x14ac:dyDescent="0.3">
      <c r="A18" s="16" t="s">
        <v>123</v>
      </c>
      <c r="C18" s="16" t="str">
        <f t="shared" si="3"/>
        <v>Rub '000'</v>
      </c>
      <c r="E18" s="35">
        <f ca="1">+E16+E17</f>
        <v>-1282.0512820512829</v>
      </c>
      <c r="F18" s="35">
        <f t="shared" ref="F18:X18" ca="1" si="6">+F16+F17</f>
        <v>-17468.770545693616</v>
      </c>
      <c r="G18" s="35">
        <f t="shared" ca="1" si="6"/>
        <v>49223.69923493544</v>
      </c>
      <c r="H18" s="35">
        <f t="shared" ca="1" si="6"/>
        <v>44052.976514082351</v>
      </c>
      <c r="I18" s="35">
        <f t="shared" ca="1" si="6"/>
        <v>45814.557346097878</v>
      </c>
      <c r="J18" s="35">
        <f t="shared" ca="1" si="6"/>
        <v>47614.401457197571</v>
      </c>
      <c r="K18" s="35">
        <f t="shared" ca="1" si="6"/>
        <v>49453.34858288306</v>
      </c>
      <c r="L18" s="35">
        <f t="shared" ca="1" si="6"/>
        <v>51332.256758334974</v>
      </c>
      <c r="M18" s="35">
        <f t="shared" ca="1" si="6"/>
        <v>53252.002715944356</v>
      </c>
      <c r="N18" s="35">
        <f t="shared" ca="1" si="6"/>
        <v>55213.482291468128</v>
      </c>
      <c r="O18" s="35">
        <f t="shared" ca="1" si="6"/>
        <v>57217.610838993962</v>
      </c>
      <c r="P18" s="35">
        <f t="shared" ca="1" si="6"/>
        <v>59265.323654907857</v>
      </c>
      <c r="Q18" s="35">
        <f t="shared" ca="1" si="6"/>
        <v>61357.576411056762</v>
      </c>
      <c r="R18" s="35">
        <f t="shared" ca="1" si="6"/>
        <v>63495.345597308398</v>
      </c>
      <c r="S18" s="35">
        <f t="shared" ca="1" si="6"/>
        <v>65679.628973709216</v>
      </c>
      <c r="T18" s="35">
        <f t="shared" ca="1" si="6"/>
        <v>67911.446032451364</v>
      </c>
      <c r="U18" s="35">
        <f t="shared" ca="1" si="6"/>
        <v>70191.83846985882</v>
      </c>
      <c r="V18" s="35">
        <f t="shared" ca="1" si="6"/>
        <v>72521.870668611577</v>
      </c>
      <c r="W18" s="35">
        <f t="shared" ca="1" si="6"/>
        <v>74902.630190429016</v>
      </c>
      <c r="X18" s="35">
        <f t="shared" ca="1" si="6"/>
        <v>76037.124218917379</v>
      </c>
    </row>
    <row r="21" spans="1:24" ht="24.6" customHeight="1" thickBot="1" x14ac:dyDescent="0.35">
      <c r="A21" s="6" t="s">
        <v>132</v>
      </c>
      <c r="B21" s="6"/>
      <c r="C21" s="6"/>
      <c r="D21" s="6"/>
      <c r="E21" s="7" t="str">
        <f t="shared" ref="E21:X21" si="7">+E$2</f>
        <v>1Q 2024</v>
      </c>
      <c r="F21" s="7" t="str">
        <f t="shared" si="7"/>
        <v>2Q 2024</v>
      </c>
      <c r="G21" s="7" t="str">
        <f t="shared" si="7"/>
        <v>3Q 2024</v>
      </c>
      <c r="H21" s="7" t="str">
        <f t="shared" si="7"/>
        <v>4Q 2024</v>
      </c>
      <c r="I21" s="7" t="str">
        <f>+I$2</f>
        <v>1Q 2025</v>
      </c>
      <c r="J21" s="7" t="str">
        <f t="shared" si="7"/>
        <v>2Q 2025</v>
      </c>
      <c r="K21" s="7" t="str">
        <f t="shared" si="7"/>
        <v>3Q 2025</v>
      </c>
      <c r="L21" s="7" t="str">
        <f t="shared" si="7"/>
        <v>4Q 2025</v>
      </c>
      <c r="M21" s="7" t="str">
        <f t="shared" si="7"/>
        <v>1Q 2026</v>
      </c>
      <c r="N21" s="7" t="str">
        <f t="shared" si="7"/>
        <v>2Q 2026</v>
      </c>
      <c r="O21" s="7" t="str">
        <f t="shared" si="7"/>
        <v>3Q 2026</v>
      </c>
      <c r="P21" s="7" t="str">
        <f t="shared" si="7"/>
        <v>4Q 2026</v>
      </c>
      <c r="Q21" s="7" t="str">
        <f t="shared" si="7"/>
        <v>1Q 2027</v>
      </c>
      <c r="R21" s="7" t="str">
        <f t="shared" si="7"/>
        <v>2Q 2027</v>
      </c>
      <c r="S21" s="7" t="str">
        <f t="shared" si="7"/>
        <v>3Q 2027</v>
      </c>
      <c r="T21" s="7" t="str">
        <f t="shared" si="7"/>
        <v>4Q 2027</v>
      </c>
      <c r="U21" s="7" t="str">
        <f t="shared" si="7"/>
        <v>1Q 2028</v>
      </c>
      <c r="V21" s="7" t="str">
        <f t="shared" si="7"/>
        <v>2Q 2028</v>
      </c>
      <c r="W21" s="7" t="str">
        <f t="shared" si="7"/>
        <v>3Q 2028</v>
      </c>
      <c r="X21" s="7" t="str">
        <f t="shared" si="7"/>
        <v>4Q 2028</v>
      </c>
    </row>
    <row r="22" spans="1:24" ht="15" thickTop="1" x14ac:dyDescent="0.3"/>
    <row r="23" spans="1:24" x14ac:dyDescent="0.3">
      <c r="A23" t="s">
        <v>123</v>
      </c>
      <c r="C23" t="str">
        <f t="shared" ref="C23:C38" si="8">+Currency</f>
        <v>Rub '000'</v>
      </c>
      <c r="E23" s="38">
        <f ca="1">+E18</f>
        <v>-1282.0512820512829</v>
      </c>
      <c r="F23" s="38">
        <f t="shared" ref="F23:X23" ca="1" si="9">+F18</f>
        <v>-17468.770545693616</v>
      </c>
      <c r="G23" s="38">
        <f t="shared" ca="1" si="9"/>
        <v>49223.69923493544</v>
      </c>
      <c r="H23" s="38">
        <f t="shared" ca="1" si="9"/>
        <v>44052.976514082351</v>
      </c>
      <c r="I23" s="38">
        <f t="shared" ca="1" si="9"/>
        <v>45814.557346097878</v>
      </c>
      <c r="J23" s="38">
        <f t="shared" ca="1" si="9"/>
        <v>47614.401457197571</v>
      </c>
      <c r="K23" s="38">
        <f t="shared" ca="1" si="9"/>
        <v>49453.34858288306</v>
      </c>
      <c r="L23" s="38">
        <f t="shared" ca="1" si="9"/>
        <v>51332.256758334974</v>
      </c>
      <c r="M23" s="38">
        <f t="shared" ca="1" si="9"/>
        <v>53252.002715944356</v>
      </c>
      <c r="N23" s="38">
        <f t="shared" ca="1" si="9"/>
        <v>55213.482291468128</v>
      </c>
      <c r="O23" s="38">
        <f t="shared" ca="1" si="9"/>
        <v>57217.610838993962</v>
      </c>
      <c r="P23" s="38">
        <f t="shared" ca="1" si="9"/>
        <v>59265.323654907857</v>
      </c>
      <c r="Q23" s="38">
        <f t="shared" ca="1" si="9"/>
        <v>61357.576411056762</v>
      </c>
      <c r="R23" s="38">
        <f t="shared" ca="1" si="9"/>
        <v>63495.345597308398</v>
      </c>
      <c r="S23" s="38">
        <f t="shared" ca="1" si="9"/>
        <v>65679.628973709216</v>
      </c>
      <c r="T23" s="38">
        <f t="shared" ca="1" si="9"/>
        <v>67911.446032451364</v>
      </c>
      <c r="U23" s="38">
        <f t="shared" ca="1" si="9"/>
        <v>70191.83846985882</v>
      </c>
      <c r="V23" s="38">
        <f t="shared" ca="1" si="9"/>
        <v>72521.870668611577</v>
      </c>
      <c r="W23" s="38">
        <f t="shared" ca="1" si="9"/>
        <v>74902.630190429016</v>
      </c>
      <c r="X23" s="38">
        <f t="shared" ca="1" si="9"/>
        <v>76037.124218917379</v>
      </c>
    </row>
    <row r="24" spans="1:24" x14ac:dyDescent="0.3">
      <c r="A24" t="s">
        <v>133</v>
      </c>
      <c r="C24" t="str">
        <f t="shared" si="8"/>
        <v>Rub '000'</v>
      </c>
      <c r="E24" s="38">
        <f>+Assumptions!E144</f>
        <v>0</v>
      </c>
      <c r="F24" s="38">
        <f>+Assumptions!F144</f>
        <v>0</v>
      </c>
      <c r="G24" s="38">
        <f>+Assumptions!G144</f>
        <v>27000</v>
      </c>
      <c r="H24" s="38">
        <f>+Assumptions!H144</f>
        <v>27000</v>
      </c>
      <c r="I24" s="38">
        <f>+Assumptions!I144</f>
        <v>27000</v>
      </c>
      <c r="J24" s="38">
        <f>+Assumptions!J144</f>
        <v>27000</v>
      </c>
      <c r="K24" s="38">
        <f>+Assumptions!K144</f>
        <v>27000</v>
      </c>
      <c r="L24" s="38">
        <f>+Assumptions!L144</f>
        <v>27000</v>
      </c>
      <c r="M24" s="38">
        <f>+Assumptions!M144</f>
        <v>27000</v>
      </c>
      <c r="N24" s="38">
        <f>+Assumptions!N144</f>
        <v>27000</v>
      </c>
      <c r="O24" s="38">
        <f>+Assumptions!O144</f>
        <v>27000</v>
      </c>
      <c r="P24" s="38">
        <f>+Assumptions!P144</f>
        <v>27000</v>
      </c>
      <c r="Q24" s="38">
        <f>+Assumptions!Q144</f>
        <v>27000</v>
      </c>
      <c r="R24" s="38">
        <f>+Assumptions!R144</f>
        <v>27000</v>
      </c>
      <c r="S24" s="38">
        <f>+Assumptions!S144</f>
        <v>27000</v>
      </c>
      <c r="T24" s="38">
        <f>+Assumptions!T144</f>
        <v>27000</v>
      </c>
      <c r="U24" s="38">
        <f>+Assumptions!U144</f>
        <v>27000</v>
      </c>
      <c r="V24" s="38">
        <f>+Assumptions!V144</f>
        <v>27000</v>
      </c>
      <c r="W24" s="38">
        <f>+Assumptions!W144</f>
        <v>27000</v>
      </c>
      <c r="X24" s="38">
        <f>+Assumptions!X144</f>
        <v>27000</v>
      </c>
    </row>
    <row r="25" spans="1:24" x14ac:dyDescent="0.3">
      <c r="A25" t="s">
        <v>134</v>
      </c>
      <c r="C25" t="str">
        <f t="shared" si="8"/>
        <v>Rub '000'</v>
      </c>
      <c r="E25" s="38">
        <f>+-Assumptions!E159</f>
        <v>0</v>
      </c>
      <c r="F25" s="38">
        <f>+-Assumptions!F159</f>
        <v>0</v>
      </c>
      <c r="G25" s="38">
        <f>+-Assumptions!G159</f>
        <v>-153409.78095522098</v>
      </c>
      <c r="H25" s="38">
        <f>+-Assumptions!H159</f>
        <v>-1511.6089403400256</v>
      </c>
      <c r="I25" s="38">
        <f>+-Assumptions!I159</f>
        <v>-1526.5034377722477</v>
      </c>
      <c r="J25" s="38">
        <f>+-Assumptions!J159</f>
        <v>-1541.5446967430762</v>
      </c>
      <c r="K25" s="38">
        <f>+-Assumptions!K159</f>
        <v>-1556.7341633534816</v>
      </c>
      <c r="L25" s="38">
        <f>+-Assumptions!L159</f>
        <v>-1572.0732979536115</v>
      </c>
      <c r="M25" s="38">
        <f>+-Assumptions!M159</f>
        <v>-1587.5635752831586</v>
      </c>
      <c r="N25" s="38">
        <f>+-Assumptions!N159</f>
        <v>-1603.206484612776</v>
      </c>
      <c r="O25" s="38">
        <f>+-Assumptions!O159</f>
        <v>-1619.0035298875882</v>
      </c>
      <c r="P25" s="38">
        <f>+-Assumptions!P159</f>
        <v>-1634.9562298718374</v>
      </c>
      <c r="Q25" s="38">
        <f>+-Assumptions!Q159</f>
        <v>-1651.0661182944314</v>
      </c>
      <c r="R25" s="38">
        <f>+-Assumptions!R159</f>
        <v>-1667.3347439973149</v>
      </c>
      <c r="S25" s="38">
        <f>+-Assumptions!S159</f>
        <v>-1683.7636710831139</v>
      </c>
      <c r="T25" s="38">
        <f>+-Assumptions!T159</f>
        <v>-1700.3544790666492</v>
      </c>
      <c r="U25" s="38">
        <f>+-Assumptions!U159</f>
        <v>-1717.1087630262773</v>
      </c>
      <c r="V25" s="38">
        <f>+-Assumptions!V159</f>
        <v>-1734.0281337571505</v>
      </c>
      <c r="W25" s="38">
        <f>+-Assumptions!W159</f>
        <v>-1751.1142179263989</v>
      </c>
      <c r="X25" s="38">
        <f>+-Assumptions!X159</f>
        <v>-1768.3686582293012</v>
      </c>
    </row>
    <row r="26" spans="1:24" s="16" customFormat="1" x14ac:dyDescent="0.3">
      <c r="A26" s="16" t="s">
        <v>135</v>
      </c>
      <c r="C26" s="16" t="str">
        <f t="shared" si="8"/>
        <v>Rub '000'</v>
      </c>
      <c r="E26" s="35">
        <f ca="1">+SUM(E23:E25)</f>
        <v>-1282.0512820512829</v>
      </c>
      <c r="F26" s="35">
        <f t="shared" ref="F26:X26" ca="1" si="10">+SUM(F23:F25)</f>
        <v>-17468.770545693616</v>
      </c>
      <c r="G26" s="35">
        <f t="shared" ca="1" si="10"/>
        <v>-77186.08172028554</v>
      </c>
      <c r="H26" s="35">
        <f t="shared" ca="1" si="10"/>
        <v>69541.367573742318</v>
      </c>
      <c r="I26" s="35">
        <f t="shared" ca="1" si="10"/>
        <v>71288.05390832563</v>
      </c>
      <c r="J26" s="35">
        <f t="shared" ca="1" si="10"/>
        <v>73072.856760454495</v>
      </c>
      <c r="K26" s="35">
        <f t="shared" ca="1" si="10"/>
        <v>74896.614419529578</v>
      </c>
      <c r="L26" s="35">
        <f t="shared" ca="1" si="10"/>
        <v>76760.183460381362</v>
      </c>
      <c r="M26" s="35">
        <f t="shared" ca="1" si="10"/>
        <v>78664.439140661198</v>
      </c>
      <c r="N26" s="35">
        <f t="shared" ca="1" si="10"/>
        <v>80610.275806855352</v>
      </c>
      <c r="O26" s="35">
        <f t="shared" ca="1" si="10"/>
        <v>82598.607309106374</v>
      </c>
      <c r="P26" s="35">
        <f t="shared" ca="1" si="10"/>
        <v>84630.36742503602</v>
      </c>
      <c r="Q26" s="35">
        <f t="shared" ca="1" si="10"/>
        <v>86706.510292762337</v>
      </c>
      <c r="R26" s="35">
        <f t="shared" ca="1" si="10"/>
        <v>88828.010853311076</v>
      </c>
      <c r="S26" s="35">
        <f t="shared" ca="1" si="10"/>
        <v>90995.865302626102</v>
      </c>
      <c r="T26" s="35">
        <f t="shared" ca="1" si="10"/>
        <v>93211.091553384715</v>
      </c>
      <c r="U26" s="35">
        <f t="shared" ca="1" si="10"/>
        <v>95474.729706832542</v>
      </c>
      <c r="V26" s="35">
        <f t="shared" ca="1" si="10"/>
        <v>97787.842534854426</v>
      </c>
      <c r="W26" s="35">
        <f t="shared" ca="1" si="10"/>
        <v>100151.51597250262</v>
      </c>
      <c r="X26" s="35">
        <f t="shared" ca="1" si="10"/>
        <v>101268.75556068808</v>
      </c>
    </row>
    <row r="27" spans="1:24" x14ac:dyDescent="0.3"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r="28" spans="1:24" x14ac:dyDescent="0.3">
      <c r="A28" t="s">
        <v>136</v>
      </c>
      <c r="C28" t="str">
        <f t="shared" si="8"/>
        <v>Rub '000'</v>
      </c>
      <c r="E28" s="38">
        <f>+-Assumptions!E140</f>
        <v>-450000</v>
      </c>
      <c r="F28" s="38">
        <f>+-Assumptions!F140</f>
        <v>-630000</v>
      </c>
      <c r="G28" s="38">
        <f>+-Assumptions!G140</f>
        <v>0</v>
      </c>
      <c r="H28" s="38">
        <f>+-Assumptions!H140</f>
        <v>0</v>
      </c>
      <c r="I28" s="38">
        <f>+-Assumptions!I140</f>
        <v>0</v>
      </c>
      <c r="J28" s="38">
        <f>+-Assumptions!J140</f>
        <v>0</v>
      </c>
      <c r="K28" s="38">
        <f>+-Assumptions!K140</f>
        <v>0</v>
      </c>
      <c r="L28" s="38">
        <f>+-Assumptions!L140</f>
        <v>0</v>
      </c>
      <c r="M28" s="38">
        <f>+-Assumptions!M140</f>
        <v>0</v>
      </c>
      <c r="N28" s="38">
        <f>+-Assumptions!N140</f>
        <v>0</v>
      </c>
      <c r="O28" s="38">
        <f>+-Assumptions!O140</f>
        <v>0</v>
      </c>
      <c r="P28" s="38">
        <f>+-Assumptions!P140</f>
        <v>0</v>
      </c>
      <c r="Q28" s="38">
        <f>+-Assumptions!Q140</f>
        <v>0</v>
      </c>
      <c r="R28" s="38">
        <f>+-Assumptions!R140</f>
        <v>0</v>
      </c>
      <c r="S28" s="38">
        <f>+-Assumptions!S140</f>
        <v>0</v>
      </c>
      <c r="T28" s="38">
        <f>+-Assumptions!T140</f>
        <v>0</v>
      </c>
      <c r="U28" s="38">
        <f>+-Assumptions!U140</f>
        <v>0</v>
      </c>
      <c r="V28" s="38">
        <f>+-Assumptions!V140</f>
        <v>0</v>
      </c>
      <c r="W28" s="38">
        <f>+-Assumptions!W140</f>
        <v>0</v>
      </c>
      <c r="X28" s="38">
        <f>+-Assumptions!X140</f>
        <v>0</v>
      </c>
    </row>
    <row r="29" spans="1:24" s="16" customFormat="1" x14ac:dyDescent="0.3">
      <c r="A29" s="16" t="s">
        <v>137</v>
      </c>
      <c r="C29" s="16" t="str">
        <f t="shared" si="8"/>
        <v>Rub '000'</v>
      </c>
      <c r="E29" s="35">
        <f>+SUM(E28)</f>
        <v>-450000</v>
      </c>
      <c r="F29" s="35">
        <f t="shared" ref="F29:X29" si="11">+SUM(F28)</f>
        <v>-630000</v>
      </c>
      <c r="G29" s="35">
        <f t="shared" si="11"/>
        <v>0</v>
      </c>
      <c r="H29" s="35">
        <f t="shared" si="11"/>
        <v>0</v>
      </c>
      <c r="I29" s="35">
        <f t="shared" si="11"/>
        <v>0</v>
      </c>
      <c r="J29" s="35">
        <f t="shared" si="11"/>
        <v>0</v>
      </c>
      <c r="K29" s="35">
        <f t="shared" si="11"/>
        <v>0</v>
      </c>
      <c r="L29" s="35">
        <f t="shared" si="11"/>
        <v>0</v>
      </c>
      <c r="M29" s="35">
        <f t="shared" si="11"/>
        <v>0</v>
      </c>
      <c r="N29" s="35">
        <f t="shared" si="11"/>
        <v>0</v>
      </c>
      <c r="O29" s="35">
        <f t="shared" si="11"/>
        <v>0</v>
      </c>
      <c r="P29" s="35">
        <f t="shared" si="11"/>
        <v>0</v>
      </c>
      <c r="Q29" s="35">
        <f t="shared" si="11"/>
        <v>0</v>
      </c>
      <c r="R29" s="35">
        <f t="shared" si="11"/>
        <v>0</v>
      </c>
      <c r="S29" s="35">
        <f t="shared" si="11"/>
        <v>0</v>
      </c>
      <c r="T29" s="35">
        <f t="shared" si="11"/>
        <v>0</v>
      </c>
      <c r="U29" s="35">
        <f t="shared" si="11"/>
        <v>0</v>
      </c>
      <c r="V29" s="35">
        <f t="shared" si="11"/>
        <v>0</v>
      </c>
      <c r="W29" s="35">
        <f t="shared" si="11"/>
        <v>0</v>
      </c>
      <c r="X29" s="35">
        <f t="shared" si="11"/>
        <v>0</v>
      </c>
    </row>
    <row r="30" spans="1:24" x14ac:dyDescent="0.3"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</row>
    <row r="31" spans="1:24" x14ac:dyDescent="0.3">
      <c r="A31" t="s">
        <v>138</v>
      </c>
      <c r="C31" t="str">
        <f t="shared" si="8"/>
        <v>Rub '000'</v>
      </c>
      <c r="E31" s="38">
        <f>+Assumptions!E176</f>
        <v>400000</v>
      </c>
      <c r="F31" s="38">
        <f>+Assumptions!F176</f>
        <v>0</v>
      </c>
      <c r="G31" s="38">
        <f>+Assumptions!G176</f>
        <v>0</v>
      </c>
      <c r="H31" s="38">
        <f>+Assumptions!H176</f>
        <v>0</v>
      </c>
      <c r="I31" s="38">
        <f>+Assumptions!I176</f>
        <v>0</v>
      </c>
      <c r="J31" s="38">
        <f>+Assumptions!J176</f>
        <v>0</v>
      </c>
      <c r="K31" s="38">
        <f>+Assumptions!K176</f>
        <v>0</v>
      </c>
      <c r="L31" s="38">
        <f>+Assumptions!L176</f>
        <v>0</v>
      </c>
      <c r="M31" s="38">
        <f>+Assumptions!M176</f>
        <v>0</v>
      </c>
      <c r="N31" s="38">
        <f>+Assumptions!N176</f>
        <v>0</v>
      </c>
      <c r="O31" s="38">
        <f>+Assumptions!O176</f>
        <v>0</v>
      </c>
      <c r="P31" s="38">
        <f>+Assumptions!P176</f>
        <v>0</v>
      </c>
      <c r="Q31" s="38">
        <f>+Assumptions!Q176</f>
        <v>0</v>
      </c>
      <c r="R31" s="38">
        <f>+Assumptions!R176</f>
        <v>0</v>
      </c>
      <c r="S31" s="38">
        <f>+Assumptions!S176</f>
        <v>0</v>
      </c>
      <c r="T31" s="38">
        <f>+Assumptions!T176</f>
        <v>0</v>
      </c>
      <c r="U31" s="38">
        <f>+Assumptions!U176</f>
        <v>0</v>
      </c>
      <c r="V31" s="38">
        <f>+Assumptions!V176</f>
        <v>0</v>
      </c>
      <c r="W31" s="38">
        <f>+Assumptions!W176</f>
        <v>0</v>
      </c>
      <c r="X31" s="38">
        <f>+Assumptions!X176</f>
        <v>0</v>
      </c>
    </row>
    <row r="32" spans="1:24" x14ac:dyDescent="0.3">
      <c r="A32" t="s">
        <v>139</v>
      </c>
      <c r="C32" t="str">
        <f t="shared" si="8"/>
        <v>Rub '000'</v>
      </c>
      <c r="E32" s="38">
        <f ca="1">+Assumptions!E186</f>
        <v>51282.05128205131</v>
      </c>
      <c r="F32" s="38">
        <f ca="1">+Assumptions!F186</f>
        <v>647468.77054569335</v>
      </c>
      <c r="G32" s="38">
        <f ca="1">+Assumptions!G186</f>
        <v>77186.081720285525</v>
      </c>
      <c r="H32" s="38">
        <f>+Assumptions!H186</f>
        <v>0</v>
      </c>
      <c r="I32" s="38">
        <f>+Assumptions!I186</f>
        <v>0</v>
      </c>
      <c r="J32" s="38">
        <f>+Assumptions!J186</f>
        <v>0</v>
      </c>
      <c r="K32" s="38">
        <f>+Assumptions!K186</f>
        <v>0</v>
      </c>
      <c r="L32" s="38">
        <f>+Assumptions!L186</f>
        <v>0</v>
      </c>
      <c r="M32" s="38">
        <f>+Assumptions!M186</f>
        <v>0</v>
      </c>
      <c r="N32" s="38">
        <f>+Assumptions!N186</f>
        <v>0</v>
      </c>
      <c r="O32" s="38">
        <f>+Assumptions!O186</f>
        <v>0</v>
      </c>
      <c r="P32" s="38">
        <f>+Assumptions!P186</f>
        <v>0</v>
      </c>
      <c r="Q32" s="38">
        <f>+Assumptions!Q186</f>
        <v>0</v>
      </c>
      <c r="R32" s="38">
        <f>+Assumptions!R186</f>
        <v>0</v>
      </c>
      <c r="S32" s="38">
        <f>+Assumptions!S186</f>
        <v>0</v>
      </c>
      <c r="T32" s="38">
        <f>+Assumptions!T186</f>
        <v>0</v>
      </c>
      <c r="U32" s="38">
        <f>+Assumptions!U186</f>
        <v>0</v>
      </c>
      <c r="V32" s="38">
        <f>+Assumptions!V186</f>
        <v>0</v>
      </c>
      <c r="W32" s="38">
        <f>+Assumptions!W186</f>
        <v>0</v>
      </c>
      <c r="X32" s="38">
        <f>+Assumptions!X186</f>
        <v>0</v>
      </c>
    </row>
    <row r="33" spans="1:24" x14ac:dyDescent="0.3">
      <c r="A33" t="s">
        <v>140</v>
      </c>
      <c r="C33" t="str">
        <f t="shared" si="8"/>
        <v>Rub '000'</v>
      </c>
      <c r="E33" s="38">
        <f>+-Assumptions!E187</f>
        <v>0</v>
      </c>
      <c r="F33" s="38">
        <f>+-Assumptions!F187</f>
        <v>0</v>
      </c>
      <c r="G33" s="38">
        <f>+-Assumptions!G187</f>
        <v>0</v>
      </c>
      <c r="H33" s="38">
        <f ca="1">+-Assumptions!H187</f>
        <v>-39894.770852927955</v>
      </c>
      <c r="I33" s="38">
        <f ca="1">+-Assumptions!I187</f>
        <v>-41391.684833091233</v>
      </c>
      <c r="J33" s="38">
        <f ca="1">+-Assumptions!J187</f>
        <v>-42926.484108119563</v>
      </c>
      <c r="K33" s="38">
        <f ca="1">+-Assumptions!K187</f>
        <v>-44500.043248403948</v>
      </c>
      <c r="L33" s="38">
        <f ca="1">+-Assumptions!L187</f>
        <v>-46113.256302708513</v>
      </c>
      <c r="M33" s="38">
        <f ca="1">+-Assumptions!M187</f>
        <v>-47767.037225417633</v>
      </c>
      <c r="N33" s="38">
        <f ca="1">+-Assumptions!N187</f>
        <v>-49462.320313092227</v>
      </c>
      <c r="O33" s="38">
        <f ca="1">+-Assumptions!O187</f>
        <v>-51200.060650535343</v>
      </c>
      <c r="P33" s="38">
        <f ca="1">+-Assumptions!P187</f>
        <v>-52981.234566576233</v>
      </c>
      <c r="Q33" s="38">
        <f ca="1">+-Assumptions!Q187</f>
        <v>-54806.840099781912</v>
      </c>
      <c r="R33" s="38">
        <f ca="1">+-Assumptions!R187</f>
        <v>-56677.897474312587</v>
      </c>
      <c r="S33" s="38">
        <f ca="1">+-Assumptions!S187</f>
        <v>-58595.449586141884</v>
      </c>
      <c r="T33" s="38">
        <f ca="1">+-Assumptions!T187</f>
        <v>-60560.562499865468</v>
      </c>
      <c r="U33" s="38">
        <f ca="1">+-Assumptions!U187</f>
        <v>-62574.325956329565</v>
      </c>
      <c r="V33" s="38">
        <f ca="1">+-Assumptions!V187</f>
        <v>-64637.853891313571</v>
      </c>
      <c r="W33" s="38">
        <f ca="1">+-Assumptions!W187</f>
        <v>-1847.0819394125792</v>
      </c>
      <c r="X33" s="38">
        <f ca="1">+-Assumptions!X187</f>
        <v>-1.7607817426323891E-9</v>
      </c>
    </row>
    <row r="34" spans="1:24" s="16" customFormat="1" x14ac:dyDescent="0.3">
      <c r="A34" s="16" t="s">
        <v>141</v>
      </c>
      <c r="C34" s="16" t="str">
        <f t="shared" si="8"/>
        <v>Rub '000'</v>
      </c>
      <c r="E34" s="35">
        <f ca="1">+SUM(E31:E33)</f>
        <v>451282.05128205131</v>
      </c>
      <c r="F34" s="35">
        <f t="shared" ref="F34:X34" ca="1" si="12">+SUM(F31:F33)</f>
        <v>647468.77054569335</v>
      </c>
      <c r="G34" s="35">
        <f t="shared" ca="1" si="12"/>
        <v>77186.081720285525</v>
      </c>
      <c r="H34" s="35">
        <f t="shared" ca="1" si="12"/>
        <v>-39894.770852927955</v>
      </c>
      <c r="I34" s="35">
        <f t="shared" ca="1" si="12"/>
        <v>-41391.684833091233</v>
      </c>
      <c r="J34" s="35">
        <f t="shared" ca="1" si="12"/>
        <v>-42926.484108119563</v>
      </c>
      <c r="K34" s="35">
        <f t="shared" ca="1" si="12"/>
        <v>-44500.043248403948</v>
      </c>
      <c r="L34" s="35">
        <f t="shared" ca="1" si="12"/>
        <v>-46113.256302708513</v>
      </c>
      <c r="M34" s="35">
        <f t="shared" ca="1" si="12"/>
        <v>-47767.037225417633</v>
      </c>
      <c r="N34" s="35">
        <f t="shared" ca="1" si="12"/>
        <v>-49462.320313092227</v>
      </c>
      <c r="O34" s="35">
        <f t="shared" ca="1" si="12"/>
        <v>-51200.060650535343</v>
      </c>
      <c r="P34" s="35">
        <f t="shared" ca="1" si="12"/>
        <v>-52981.234566576233</v>
      </c>
      <c r="Q34" s="35">
        <f t="shared" ca="1" si="12"/>
        <v>-54806.840099781912</v>
      </c>
      <c r="R34" s="35">
        <f t="shared" ca="1" si="12"/>
        <v>-56677.897474312587</v>
      </c>
      <c r="S34" s="35">
        <f t="shared" ca="1" si="12"/>
        <v>-58595.449586141884</v>
      </c>
      <c r="T34" s="35">
        <f t="shared" ca="1" si="12"/>
        <v>-60560.562499865468</v>
      </c>
      <c r="U34" s="35">
        <f t="shared" ca="1" si="12"/>
        <v>-62574.325956329565</v>
      </c>
      <c r="V34" s="35">
        <f t="shared" ca="1" si="12"/>
        <v>-64637.853891313571</v>
      </c>
      <c r="W34" s="35">
        <f t="shared" ca="1" si="12"/>
        <v>-1847.0819394125792</v>
      </c>
      <c r="X34" s="35">
        <f t="shared" ca="1" si="12"/>
        <v>-1.7607817426323891E-9</v>
      </c>
    </row>
    <row r="35" spans="1:24" x14ac:dyDescent="0.3"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1:24" x14ac:dyDescent="0.3">
      <c r="A36" t="s">
        <v>142</v>
      </c>
      <c r="C36" t="str">
        <f t="shared" si="8"/>
        <v>Rub '000'</v>
      </c>
      <c r="E36" s="38">
        <f ca="1">+E26+E29+E34</f>
        <v>0</v>
      </c>
      <c r="F36" s="38">
        <f t="shared" ref="F36:X36" ca="1" si="13">+F26+F29+F34</f>
        <v>0</v>
      </c>
      <c r="G36" s="38">
        <f t="shared" ca="1" si="13"/>
        <v>0</v>
      </c>
      <c r="H36" s="38">
        <f t="shared" ca="1" si="13"/>
        <v>29646.596720814363</v>
      </c>
      <c r="I36" s="38">
        <f t="shared" ca="1" si="13"/>
        <v>29896.369075234397</v>
      </c>
      <c r="J36" s="38">
        <f t="shared" ca="1" si="13"/>
        <v>30146.372652334932</v>
      </c>
      <c r="K36" s="38">
        <f t="shared" ca="1" si="13"/>
        <v>30396.57117112563</v>
      </c>
      <c r="L36" s="38">
        <f t="shared" ca="1" si="13"/>
        <v>30646.92715767285</v>
      </c>
      <c r="M36" s="38">
        <f t="shared" ca="1" si="13"/>
        <v>30897.401915243565</v>
      </c>
      <c r="N36" s="38">
        <f t="shared" ca="1" si="13"/>
        <v>31147.955493763126</v>
      </c>
      <c r="O36" s="38">
        <f t="shared" ca="1" si="13"/>
        <v>31398.546658571031</v>
      </c>
      <c r="P36" s="38">
        <f t="shared" ca="1" si="13"/>
        <v>31649.132858459787</v>
      </c>
      <c r="Q36" s="38">
        <f t="shared" ca="1" si="13"/>
        <v>31899.670192980426</v>
      </c>
      <c r="R36" s="38">
        <f t="shared" ca="1" si="13"/>
        <v>32150.113378998489</v>
      </c>
      <c r="S36" s="38">
        <f t="shared" ca="1" si="13"/>
        <v>32400.415716484218</v>
      </c>
      <c r="T36" s="38">
        <f t="shared" ca="1" si="13"/>
        <v>32650.529053519247</v>
      </c>
      <c r="U36" s="38">
        <f t="shared" ca="1" si="13"/>
        <v>32900.403750502977</v>
      </c>
      <c r="V36" s="38">
        <f t="shared" ca="1" si="13"/>
        <v>33149.988643540855</v>
      </c>
      <c r="W36" s="38">
        <f t="shared" ca="1" si="13"/>
        <v>98304.434033090045</v>
      </c>
      <c r="X36" s="38">
        <f t="shared" ca="1" si="13"/>
        <v>101268.75556068632</v>
      </c>
    </row>
    <row r="37" spans="1:24" x14ac:dyDescent="0.3">
      <c r="A37" t="s">
        <v>143</v>
      </c>
      <c r="C37" t="str">
        <f t="shared" si="8"/>
        <v>Rub '000'</v>
      </c>
      <c r="E37" s="38">
        <f>+D38</f>
        <v>0</v>
      </c>
      <c r="F37" s="38">
        <f t="shared" ref="F37:X37" ca="1" si="14">+E38</f>
        <v>0</v>
      </c>
      <c r="G37" s="38">
        <f t="shared" ca="1" si="14"/>
        <v>0</v>
      </c>
      <c r="H37" s="38">
        <f t="shared" ca="1" si="14"/>
        <v>0</v>
      </c>
      <c r="I37" s="38">
        <f t="shared" ca="1" si="14"/>
        <v>29646.596720814363</v>
      </c>
      <c r="J37" s="38">
        <f t="shared" ca="1" si="14"/>
        <v>59542.96579604876</v>
      </c>
      <c r="K37" s="38">
        <f t="shared" ca="1" si="14"/>
        <v>89689.3384483837</v>
      </c>
      <c r="L37" s="38">
        <f t="shared" ca="1" si="14"/>
        <v>120085.90961950933</v>
      </c>
      <c r="M37" s="38">
        <f t="shared" ca="1" si="14"/>
        <v>150732.83677718218</v>
      </c>
      <c r="N37" s="38">
        <f t="shared" ca="1" si="14"/>
        <v>181630.23869242574</v>
      </c>
      <c r="O37" s="38">
        <f t="shared" ca="1" si="14"/>
        <v>212778.19418618886</v>
      </c>
      <c r="P37" s="38">
        <f t="shared" ca="1" si="14"/>
        <v>244176.74084475989</v>
      </c>
      <c r="Q37" s="38">
        <f t="shared" ca="1" si="14"/>
        <v>275825.8737032197</v>
      </c>
      <c r="R37" s="38">
        <f t="shared" ca="1" si="14"/>
        <v>307725.54389620014</v>
      </c>
      <c r="S37" s="38">
        <f t="shared" ca="1" si="14"/>
        <v>339875.65727519861</v>
      </c>
      <c r="T37" s="38">
        <f t="shared" ca="1" si="14"/>
        <v>372276.0729916828</v>
      </c>
      <c r="U37" s="38">
        <f t="shared" ca="1" si="14"/>
        <v>404926.60204520205</v>
      </c>
      <c r="V37" s="38">
        <f t="shared" ca="1" si="14"/>
        <v>437827.00579570502</v>
      </c>
      <c r="W37" s="38">
        <f t="shared" ca="1" si="14"/>
        <v>470976.9944392459</v>
      </c>
      <c r="X37" s="38">
        <f t="shared" ca="1" si="14"/>
        <v>569281.4284723365</v>
      </c>
    </row>
    <row r="38" spans="1:24" s="21" customFormat="1" x14ac:dyDescent="0.3">
      <c r="A38" s="21" t="s">
        <v>144</v>
      </c>
      <c r="C38" s="21" t="str">
        <f t="shared" si="8"/>
        <v>Rub '000'</v>
      </c>
      <c r="E38" s="47">
        <f ca="1">+E37+E36</f>
        <v>0</v>
      </c>
      <c r="F38" s="47">
        <f t="shared" ref="F38:X38" ca="1" si="15">+F37+F36</f>
        <v>0</v>
      </c>
      <c r="G38" s="47">
        <f t="shared" ca="1" si="15"/>
        <v>0</v>
      </c>
      <c r="H38" s="47">
        <f t="shared" ca="1" si="15"/>
        <v>29646.596720814363</v>
      </c>
      <c r="I38" s="47">
        <f t="shared" ca="1" si="15"/>
        <v>59542.96579604876</v>
      </c>
      <c r="J38" s="47">
        <f t="shared" ca="1" si="15"/>
        <v>89689.3384483837</v>
      </c>
      <c r="K38" s="47">
        <f t="shared" ca="1" si="15"/>
        <v>120085.90961950933</v>
      </c>
      <c r="L38" s="47">
        <f t="shared" ca="1" si="15"/>
        <v>150732.83677718218</v>
      </c>
      <c r="M38" s="47">
        <f t="shared" ca="1" si="15"/>
        <v>181630.23869242574</v>
      </c>
      <c r="N38" s="47">
        <f t="shared" ca="1" si="15"/>
        <v>212778.19418618886</v>
      </c>
      <c r="O38" s="47">
        <f t="shared" ca="1" si="15"/>
        <v>244176.74084475989</v>
      </c>
      <c r="P38" s="47">
        <f t="shared" ca="1" si="15"/>
        <v>275825.8737032197</v>
      </c>
      <c r="Q38" s="47">
        <f t="shared" ca="1" si="15"/>
        <v>307725.54389620014</v>
      </c>
      <c r="R38" s="47">
        <f t="shared" ca="1" si="15"/>
        <v>339875.65727519861</v>
      </c>
      <c r="S38" s="47">
        <f t="shared" ca="1" si="15"/>
        <v>372276.0729916828</v>
      </c>
      <c r="T38" s="47">
        <f t="shared" ca="1" si="15"/>
        <v>404926.60204520205</v>
      </c>
      <c r="U38" s="47">
        <f t="shared" ca="1" si="15"/>
        <v>437827.00579570502</v>
      </c>
      <c r="V38" s="47">
        <f t="shared" ca="1" si="15"/>
        <v>470976.9944392459</v>
      </c>
      <c r="W38" s="47">
        <f t="shared" ca="1" si="15"/>
        <v>569281.42847233592</v>
      </c>
      <c r="X38" s="47">
        <f t="shared" ca="1" si="15"/>
        <v>670550.18403302284</v>
      </c>
    </row>
    <row r="41" spans="1:24" ht="24.6" customHeight="1" thickBot="1" x14ac:dyDescent="0.35">
      <c r="A41" s="6" t="s">
        <v>145</v>
      </c>
      <c r="B41" s="6"/>
      <c r="C41" s="6"/>
      <c r="D41" s="6"/>
      <c r="E41" s="7" t="str">
        <f t="shared" ref="E41:X41" si="16">+E$2</f>
        <v>1Q 2024</v>
      </c>
      <c r="F41" s="7" t="str">
        <f t="shared" si="16"/>
        <v>2Q 2024</v>
      </c>
      <c r="G41" s="7" t="str">
        <f t="shared" si="16"/>
        <v>3Q 2024</v>
      </c>
      <c r="H41" s="7" t="str">
        <f t="shared" si="16"/>
        <v>4Q 2024</v>
      </c>
      <c r="I41" s="7" t="str">
        <f>+I$2</f>
        <v>1Q 2025</v>
      </c>
      <c r="J41" s="7" t="str">
        <f t="shared" si="16"/>
        <v>2Q 2025</v>
      </c>
      <c r="K41" s="7" t="str">
        <f t="shared" si="16"/>
        <v>3Q 2025</v>
      </c>
      <c r="L41" s="7" t="str">
        <f t="shared" si="16"/>
        <v>4Q 2025</v>
      </c>
      <c r="M41" s="7" t="str">
        <f t="shared" si="16"/>
        <v>1Q 2026</v>
      </c>
      <c r="N41" s="7" t="str">
        <f t="shared" si="16"/>
        <v>2Q 2026</v>
      </c>
      <c r="O41" s="7" t="str">
        <f t="shared" si="16"/>
        <v>3Q 2026</v>
      </c>
      <c r="P41" s="7" t="str">
        <f t="shared" si="16"/>
        <v>4Q 2026</v>
      </c>
      <c r="Q41" s="7" t="str">
        <f t="shared" si="16"/>
        <v>1Q 2027</v>
      </c>
      <c r="R41" s="7" t="str">
        <f t="shared" si="16"/>
        <v>2Q 2027</v>
      </c>
      <c r="S41" s="7" t="str">
        <f t="shared" si="16"/>
        <v>3Q 2027</v>
      </c>
      <c r="T41" s="7" t="str">
        <f t="shared" si="16"/>
        <v>4Q 2027</v>
      </c>
      <c r="U41" s="7" t="str">
        <f t="shared" si="16"/>
        <v>1Q 2028</v>
      </c>
      <c r="V41" s="7" t="str">
        <f t="shared" si="16"/>
        <v>2Q 2028</v>
      </c>
      <c r="W41" s="7" t="str">
        <f t="shared" si="16"/>
        <v>3Q 2028</v>
      </c>
      <c r="X41" s="7" t="str">
        <f t="shared" si="16"/>
        <v>4Q 2028</v>
      </c>
    </row>
    <row r="42" spans="1:24" ht="15" thickTop="1" x14ac:dyDescent="0.3"/>
    <row r="43" spans="1:24" x14ac:dyDescent="0.3">
      <c r="A43" t="s">
        <v>146</v>
      </c>
      <c r="C43" s="21" t="str">
        <f t="shared" ref="C43:C62" si="17">+Currency</f>
        <v>Rub '000'</v>
      </c>
      <c r="E43" s="38">
        <f>+Assumptions!E146</f>
        <v>0</v>
      </c>
      <c r="F43" s="38">
        <f>+Assumptions!F146</f>
        <v>0</v>
      </c>
      <c r="G43" s="38">
        <f>+Assumptions!G146</f>
        <v>1053000</v>
      </c>
      <c r="H43" s="38">
        <f>+Assumptions!H146</f>
        <v>1026000</v>
      </c>
      <c r="I43" s="38">
        <f>+Assumptions!I146</f>
        <v>999000</v>
      </c>
      <c r="J43" s="38">
        <f>+Assumptions!J146</f>
        <v>972000</v>
      </c>
      <c r="K43" s="38">
        <f>+Assumptions!K146</f>
        <v>945000</v>
      </c>
      <c r="L43" s="38">
        <f>+Assumptions!L146</f>
        <v>918000</v>
      </c>
      <c r="M43" s="38">
        <f>+Assumptions!M146</f>
        <v>891000</v>
      </c>
      <c r="N43" s="38">
        <f>+Assumptions!N146</f>
        <v>864000</v>
      </c>
      <c r="O43" s="38">
        <f>+Assumptions!O146</f>
        <v>837000</v>
      </c>
      <c r="P43" s="38">
        <f>+Assumptions!P146</f>
        <v>810000</v>
      </c>
      <c r="Q43" s="38">
        <f>+Assumptions!Q146</f>
        <v>783000</v>
      </c>
      <c r="R43" s="38">
        <f>+Assumptions!R146</f>
        <v>756000</v>
      </c>
      <c r="S43" s="38">
        <f>+Assumptions!S146</f>
        <v>729000</v>
      </c>
      <c r="T43" s="38">
        <f>+Assumptions!T146</f>
        <v>702000</v>
      </c>
      <c r="U43" s="38">
        <f>+Assumptions!U146</f>
        <v>675000</v>
      </c>
      <c r="V43" s="38">
        <f>+Assumptions!V146</f>
        <v>648000</v>
      </c>
      <c r="W43" s="38">
        <f>+Assumptions!W146</f>
        <v>621000</v>
      </c>
      <c r="X43" s="38">
        <f>+Assumptions!X146</f>
        <v>594000</v>
      </c>
    </row>
    <row r="44" spans="1:24" x14ac:dyDescent="0.3">
      <c r="A44" t="s">
        <v>147</v>
      </c>
      <c r="C44" s="21" t="str">
        <f t="shared" si="17"/>
        <v>Rub '000'</v>
      </c>
      <c r="E44" s="38">
        <f>+Assumptions!E142</f>
        <v>450000</v>
      </c>
      <c r="F44" s="38">
        <f>+Assumptions!F142</f>
        <v>1080000</v>
      </c>
      <c r="G44" s="38">
        <f>+Assumptions!G142</f>
        <v>0</v>
      </c>
      <c r="H44" s="38">
        <f>+Assumptions!H142</f>
        <v>0</v>
      </c>
      <c r="I44" s="38">
        <f>+Assumptions!I142</f>
        <v>0</v>
      </c>
      <c r="J44" s="38">
        <f>+Assumptions!J142</f>
        <v>0</v>
      </c>
      <c r="K44" s="38">
        <f>+Assumptions!K142</f>
        <v>0</v>
      </c>
      <c r="L44" s="38">
        <f>+Assumptions!L142</f>
        <v>0</v>
      </c>
      <c r="M44" s="38">
        <f>+Assumptions!M142</f>
        <v>0</v>
      </c>
      <c r="N44" s="38">
        <f>+Assumptions!N142</f>
        <v>0</v>
      </c>
      <c r="O44" s="38">
        <f>+Assumptions!O142</f>
        <v>0</v>
      </c>
      <c r="P44" s="38">
        <f>+Assumptions!P142</f>
        <v>0</v>
      </c>
      <c r="Q44" s="38">
        <f>+Assumptions!Q142</f>
        <v>0</v>
      </c>
      <c r="R44" s="38">
        <f>+Assumptions!R142</f>
        <v>0</v>
      </c>
      <c r="S44" s="38">
        <f>+Assumptions!S142</f>
        <v>0</v>
      </c>
      <c r="T44" s="38">
        <f>+Assumptions!T142</f>
        <v>0</v>
      </c>
      <c r="U44" s="38">
        <f>+Assumptions!U142</f>
        <v>0</v>
      </c>
      <c r="V44" s="38">
        <f>+Assumptions!V142</f>
        <v>0</v>
      </c>
      <c r="W44" s="38">
        <f>+Assumptions!W142</f>
        <v>0</v>
      </c>
      <c r="X44" s="38">
        <f>+Assumptions!X142</f>
        <v>0</v>
      </c>
    </row>
    <row r="45" spans="1:24" s="21" customFormat="1" x14ac:dyDescent="0.3">
      <c r="A45" s="21" t="s">
        <v>148</v>
      </c>
      <c r="C45" s="21" t="str">
        <f t="shared" si="17"/>
        <v>Rub '000'</v>
      </c>
      <c r="E45" s="46">
        <f>+SUM(E43:E44)</f>
        <v>450000</v>
      </c>
      <c r="F45" s="46">
        <f t="shared" ref="F45:X45" si="18">+SUM(F43:F44)</f>
        <v>1080000</v>
      </c>
      <c r="G45" s="46">
        <f t="shared" si="18"/>
        <v>1053000</v>
      </c>
      <c r="H45" s="46">
        <f t="shared" si="18"/>
        <v>1026000</v>
      </c>
      <c r="I45" s="46">
        <f t="shared" si="18"/>
        <v>999000</v>
      </c>
      <c r="J45" s="46">
        <f t="shared" si="18"/>
        <v>972000</v>
      </c>
      <c r="K45" s="46">
        <f t="shared" si="18"/>
        <v>945000</v>
      </c>
      <c r="L45" s="46">
        <f t="shared" si="18"/>
        <v>918000</v>
      </c>
      <c r="M45" s="46">
        <f t="shared" si="18"/>
        <v>891000</v>
      </c>
      <c r="N45" s="46">
        <f t="shared" si="18"/>
        <v>864000</v>
      </c>
      <c r="O45" s="46">
        <f t="shared" si="18"/>
        <v>837000</v>
      </c>
      <c r="P45" s="46">
        <f t="shared" si="18"/>
        <v>810000</v>
      </c>
      <c r="Q45" s="46">
        <f t="shared" si="18"/>
        <v>783000</v>
      </c>
      <c r="R45" s="46">
        <f t="shared" si="18"/>
        <v>756000</v>
      </c>
      <c r="S45" s="46">
        <f t="shared" si="18"/>
        <v>729000</v>
      </c>
      <c r="T45" s="46">
        <f t="shared" si="18"/>
        <v>702000</v>
      </c>
      <c r="U45" s="46">
        <f t="shared" si="18"/>
        <v>675000</v>
      </c>
      <c r="V45" s="46">
        <f t="shared" si="18"/>
        <v>648000</v>
      </c>
      <c r="W45" s="46">
        <f t="shared" si="18"/>
        <v>621000</v>
      </c>
      <c r="X45" s="46">
        <f t="shared" si="18"/>
        <v>594000</v>
      </c>
    </row>
    <row r="46" spans="1:24" x14ac:dyDescent="0.3">
      <c r="C46" s="21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1:24" x14ac:dyDescent="0.3">
      <c r="A47" t="s">
        <v>149</v>
      </c>
      <c r="C47" s="21" t="str">
        <f t="shared" si="17"/>
        <v>Rub '000'</v>
      </c>
      <c r="E47" s="38">
        <f>+Assumptions!E152</f>
        <v>0</v>
      </c>
      <c r="F47" s="38">
        <f>+Assumptions!F152</f>
        <v>0</v>
      </c>
      <c r="G47" s="38">
        <f>+Assumptions!G152</f>
        <v>36753.732653976782</v>
      </c>
      <c r="H47" s="38">
        <f>+Assumptions!H152</f>
        <v>37115.882124008531</v>
      </c>
      <c r="I47" s="38">
        <f>+Assumptions!I152</f>
        <v>37481.599999999977</v>
      </c>
      <c r="J47" s="38">
        <f>+Assumptions!J152</f>
        <v>37850.921442905819</v>
      </c>
      <c r="K47" s="38">
        <f>+Assumptions!K152</f>
        <v>38223.881960135855</v>
      </c>
      <c r="L47" s="38">
        <f>+Assumptions!L152</f>
        <v>38600.517408968859</v>
      </c>
      <c r="M47" s="38">
        <f>+Assumptions!M152</f>
        <v>38980.86399999998</v>
      </c>
      <c r="N47" s="38">
        <f>+Assumptions!N152</f>
        <v>39364.958300622042</v>
      </c>
      <c r="O47" s="38">
        <f>+Assumptions!O152</f>
        <v>39752.83723854128</v>
      </c>
      <c r="P47" s="38">
        <f>+Assumptions!P152</f>
        <v>40144.538105327614</v>
      </c>
      <c r="Q47" s="38">
        <f>+Assumptions!Q152</f>
        <v>40540.098559999977</v>
      </c>
      <c r="R47" s="38">
        <f>+Assumptions!R152</f>
        <v>40939.556632646927</v>
      </c>
      <c r="S47" s="38">
        <f>+Assumptions!S152</f>
        <v>41342.950728082928</v>
      </c>
      <c r="T47" s="38">
        <f>+Assumptions!T152</f>
        <v>41750.319629540718</v>
      </c>
      <c r="U47" s="38">
        <f>+Assumptions!U152</f>
        <v>42161.702502399981</v>
      </c>
      <c r="V47" s="38">
        <f>+Assumptions!V152</f>
        <v>42577.138897952798</v>
      </c>
      <c r="W47" s="38">
        <f>+Assumptions!W152</f>
        <v>42996.668757206244</v>
      </c>
      <c r="X47" s="38">
        <f>+Assumptions!X152</f>
        <v>43420.332414722332</v>
      </c>
    </row>
    <row r="48" spans="1:24" x14ac:dyDescent="0.3">
      <c r="A48" t="s">
        <v>105</v>
      </c>
      <c r="C48" s="21" t="str">
        <f t="shared" si="17"/>
        <v>Rub '000'</v>
      </c>
      <c r="E48" s="38">
        <f>+Assumptions!E153</f>
        <v>0</v>
      </c>
      <c r="F48" s="38">
        <f>+Assumptions!F153</f>
        <v>0</v>
      </c>
      <c r="G48" s="38">
        <f>+Assumptions!G153</f>
        <v>38064.180668970126</v>
      </c>
      <c r="H48" s="38">
        <f>+Assumptions!H153</f>
        <v>38439.242516054896</v>
      </c>
      <c r="I48" s="38">
        <f>+Assumptions!I153</f>
        <v>38817.999999999978</v>
      </c>
      <c r="J48" s="38">
        <f>+Assumptions!J153</f>
        <v>39200.489535417859</v>
      </c>
      <c r="K48" s="38">
        <f>+Assumptions!K153</f>
        <v>39586.747895728928</v>
      </c>
      <c r="L48" s="38">
        <f>+Assumptions!L153</f>
        <v>39976.812216697079</v>
      </c>
      <c r="M48" s="38">
        <f>+Assumptions!M153</f>
        <v>40370.719999999979</v>
      </c>
      <c r="N48" s="38">
        <f>+Assumptions!N153</f>
        <v>40768.509116834561</v>
      </c>
      <c r="O48" s="38">
        <f>+Assumptions!O153</f>
        <v>41170.217811558075</v>
      </c>
      <c r="P48" s="38">
        <f>+Assumptions!P153</f>
        <v>41575.884705364959</v>
      </c>
      <c r="Q48" s="38">
        <f>+Assumptions!Q153</f>
        <v>41985.548799999975</v>
      </c>
      <c r="R48" s="38">
        <f>+Assumptions!R153</f>
        <v>42399.249481507941</v>
      </c>
      <c r="S48" s="38">
        <f>+Assumptions!S153</f>
        <v>42817.026524020403</v>
      </c>
      <c r="T48" s="38">
        <f>+Assumptions!T153</f>
        <v>43238.92009357956</v>
      </c>
      <c r="U48" s="38">
        <f>+Assumptions!U153</f>
        <v>43664.970751999979</v>
      </c>
      <c r="V48" s="38">
        <f>+Assumptions!V153</f>
        <v>44095.219460768261</v>
      </c>
      <c r="W48" s="38">
        <f>+Assumptions!W153</f>
        <v>44529.70758498121</v>
      </c>
      <c r="X48" s="38">
        <f>+Assumptions!X153</f>
        <v>44968.476897322726</v>
      </c>
    </row>
    <row r="49" spans="1:24" x14ac:dyDescent="0.3">
      <c r="A49" t="s">
        <v>150</v>
      </c>
      <c r="C49" s="21" t="str">
        <f t="shared" si="17"/>
        <v>Rub '000'</v>
      </c>
      <c r="E49" s="38">
        <f>+Assumptions!E154</f>
        <v>0</v>
      </c>
      <c r="F49" s="38">
        <f>+Assumptions!F154</f>
        <v>0</v>
      </c>
      <c r="G49" s="38">
        <f>+Assumptions!G154</f>
        <v>149571.23906538833</v>
      </c>
      <c r="H49" s="38">
        <f>+Assumptions!H154</f>
        <v>151045.02529193257</v>
      </c>
      <c r="I49" s="38">
        <f>+Assumptions!I154</f>
        <v>152533.33333333326</v>
      </c>
      <c r="J49" s="38">
        <f>+Assumptions!J154</f>
        <v>154036.30627893598</v>
      </c>
      <c r="K49" s="38">
        <f>+Assumptions!K154</f>
        <v>155554.08862800384</v>
      </c>
      <c r="L49" s="38">
        <f>+Assumptions!L154</f>
        <v>157086.82630360988</v>
      </c>
      <c r="M49" s="38">
        <f>+Assumptions!M154</f>
        <v>158634.66666666657</v>
      </c>
      <c r="N49" s="38">
        <f>+Assumptions!N154</f>
        <v>160197.75853009342</v>
      </c>
      <c r="O49" s="38">
        <f>+Assumptions!O154</f>
        <v>161776.25217312397</v>
      </c>
      <c r="P49" s="38">
        <f>+Assumptions!P154</f>
        <v>163370.29935575428</v>
      </c>
      <c r="Q49" s="38">
        <f>+Assumptions!Q154</f>
        <v>164980.05333333323</v>
      </c>
      <c r="R49" s="38">
        <f>+Assumptions!R154</f>
        <v>166605.66887129715</v>
      </c>
      <c r="S49" s="38">
        <f>+Assumptions!S154</f>
        <v>168247.30226004892</v>
      </c>
      <c r="T49" s="38">
        <f>+Assumptions!T154</f>
        <v>169905.11132998441</v>
      </c>
      <c r="U49" s="38">
        <f>+Assumptions!U154</f>
        <v>171579.25546666657</v>
      </c>
      <c r="V49" s="38">
        <f>+Assumptions!V154</f>
        <v>173269.89562614897</v>
      </c>
      <c r="W49" s="38">
        <f>+Assumptions!W154</f>
        <v>174977.19435045082</v>
      </c>
      <c r="X49" s="38">
        <f>+Assumptions!X154</f>
        <v>176701.31578318373</v>
      </c>
    </row>
    <row r="50" spans="1:24" x14ac:dyDescent="0.3">
      <c r="A50" t="s">
        <v>151</v>
      </c>
      <c r="C50" s="21" t="str">
        <f t="shared" si="17"/>
        <v>Rub '000'</v>
      </c>
      <c r="E50" s="38">
        <f ca="1">+E38</f>
        <v>0</v>
      </c>
      <c r="F50" s="38">
        <f t="shared" ref="F50:X50" ca="1" si="19">+F38</f>
        <v>0</v>
      </c>
      <c r="G50" s="38">
        <f t="shared" ca="1" si="19"/>
        <v>0</v>
      </c>
      <c r="H50" s="38">
        <f t="shared" ca="1" si="19"/>
        <v>29646.596720814363</v>
      </c>
      <c r="I50" s="38">
        <f t="shared" ca="1" si="19"/>
        <v>59542.96579604876</v>
      </c>
      <c r="J50" s="38">
        <f t="shared" ca="1" si="19"/>
        <v>89689.3384483837</v>
      </c>
      <c r="K50" s="38">
        <f t="shared" ca="1" si="19"/>
        <v>120085.90961950933</v>
      </c>
      <c r="L50" s="38">
        <f t="shared" ca="1" si="19"/>
        <v>150732.83677718218</v>
      </c>
      <c r="M50" s="38">
        <f t="shared" ca="1" si="19"/>
        <v>181630.23869242574</v>
      </c>
      <c r="N50" s="38">
        <f t="shared" ca="1" si="19"/>
        <v>212778.19418618886</v>
      </c>
      <c r="O50" s="38">
        <f t="shared" ca="1" si="19"/>
        <v>244176.74084475989</v>
      </c>
      <c r="P50" s="38">
        <f t="shared" ca="1" si="19"/>
        <v>275825.8737032197</v>
      </c>
      <c r="Q50" s="38">
        <f t="shared" ca="1" si="19"/>
        <v>307725.54389620014</v>
      </c>
      <c r="R50" s="38">
        <f t="shared" ca="1" si="19"/>
        <v>339875.65727519861</v>
      </c>
      <c r="S50" s="38">
        <f t="shared" ca="1" si="19"/>
        <v>372276.0729916828</v>
      </c>
      <c r="T50" s="38">
        <f t="shared" ca="1" si="19"/>
        <v>404926.60204520205</v>
      </c>
      <c r="U50" s="38">
        <f t="shared" ca="1" si="19"/>
        <v>437827.00579570502</v>
      </c>
      <c r="V50" s="38">
        <f t="shared" ca="1" si="19"/>
        <v>470976.9944392459</v>
      </c>
      <c r="W50" s="38">
        <f t="shared" ca="1" si="19"/>
        <v>569281.42847233592</v>
      </c>
      <c r="X50" s="38">
        <f t="shared" ca="1" si="19"/>
        <v>670550.18403302284</v>
      </c>
    </row>
    <row r="51" spans="1:24" x14ac:dyDescent="0.3">
      <c r="A51" t="s">
        <v>152</v>
      </c>
      <c r="C51" s="21" t="str">
        <f t="shared" si="17"/>
        <v>Rub '000'</v>
      </c>
      <c r="E51" s="38">
        <f ca="1">+SUM(E47:E50)</f>
        <v>0</v>
      </c>
      <c r="F51" s="38">
        <f t="shared" ref="F51:X51" ca="1" si="20">+SUM(F47:F50)</f>
        <v>0</v>
      </c>
      <c r="G51" s="38">
        <f t="shared" ca="1" si="20"/>
        <v>224389.15238833523</v>
      </c>
      <c r="H51" s="38">
        <f t="shared" ca="1" si="20"/>
        <v>256246.74665281037</v>
      </c>
      <c r="I51" s="38">
        <f t="shared" ca="1" si="20"/>
        <v>288375.89912938199</v>
      </c>
      <c r="J51" s="38">
        <f t="shared" ca="1" si="20"/>
        <v>320777.05570564338</v>
      </c>
      <c r="K51" s="38">
        <f t="shared" ca="1" si="20"/>
        <v>353450.628103378</v>
      </c>
      <c r="L51" s="38">
        <f t="shared" ca="1" si="20"/>
        <v>386396.99270645797</v>
      </c>
      <c r="M51" s="38">
        <f t="shared" ca="1" si="20"/>
        <v>419616.48935909232</v>
      </c>
      <c r="N51" s="38">
        <f t="shared" ca="1" si="20"/>
        <v>453109.42013373889</v>
      </c>
      <c r="O51" s="38">
        <f t="shared" ca="1" si="20"/>
        <v>486876.04806798324</v>
      </c>
      <c r="P51" s="38">
        <f t="shared" ca="1" si="20"/>
        <v>520916.59586966655</v>
      </c>
      <c r="Q51" s="38">
        <f t="shared" ca="1" si="20"/>
        <v>555231.24458953331</v>
      </c>
      <c r="R51" s="38">
        <f t="shared" ca="1" si="20"/>
        <v>589820.13226065063</v>
      </c>
      <c r="S51" s="38">
        <f t="shared" ca="1" si="20"/>
        <v>624683.35250383499</v>
      </c>
      <c r="T51" s="38">
        <f t="shared" ca="1" si="20"/>
        <v>659820.95309830667</v>
      </c>
      <c r="U51" s="38">
        <f t="shared" ca="1" si="20"/>
        <v>695232.93451677158</v>
      </c>
      <c r="V51" s="38">
        <f t="shared" ca="1" si="20"/>
        <v>730919.24842411594</v>
      </c>
      <c r="W51" s="38">
        <f t="shared" ca="1" si="20"/>
        <v>831784.9991649742</v>
      </c>
      <c r="X51" s="38">
        <f t="shared" ca="1" si="20"/>
        <v>935640.30912825163</v>
      </c>
    </row>
    <row r="52" spans="1:24" x14ac:dyDescent="0.3">
      <c r="C52" s="21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1:24" s="16" customFormat="1" x14ac:dyDescent="0.3">
      <c r="A53" s="16" t="s">
        <v>153</v>
      </c>
      <c r="C53" s="21" t="str">
        <f t="shared" si="17"/>
        <v>Rub '000'</v>
      </c>
      <c r="E53" s="35">
        <f ca="1">+E51+E45</f>
        <v>450000</v>
      </c>
      <c r="F53" s="35">
        <f t="shared" ref="F53:X53" ca="1" si="21">+F51+F45</f>
        <v>1080000</v>
      </c>
      <c r="G53" s="35">
        <f t="shared" ca="1" si="21"/>
        <v>1277389.1523883352</v>
      </c>
      <c r="H53" s="35">
        <f t="shared" ca="1" si="21"/>
        <v>1282246.7466528104</v>
      </c>
      <c r="I53" s="35">
        <f t="shared" ca="1" si="21"/>
        <v>1287375.8991293819</v>
      </c>
      <c r="J53" s="35">
        <f t="shared" ca="1" si="21"/>
        <v>1292777.0557056433</v>
      </c>
      <c r="K53" s="35">
        <f t="shared" ca="1" si="21"/>
        <v>1298450.628103378</v>
      </c>
      <c r="L53" s="35">
        <f t="shared" ca="1" si="21"/>
        <v>1304396.9927064581</v>
      </c>
      <c r="M53" s="35">
        <f t="shared" ca="1" si="21"/>
        <v>1310616.4893590924</v>
      </c>
      <c r="N53" s="35">
        <f t="shared" ca="1" si="21"/>
        <v>1317109.4201337388</v>
      </c>
      <c r="O53" s="35">
        <f t="shared" ca="1" si="21"/>
        <v>1323876.0480679832</v>
      </c>
      <c r="P53" s="35">
        <f t="shared" ca="1" si="21"/>
        <v>1330916.5958696664</v>
      </c>
      <c r="Q53" s="35">
        <f t="shared" ca="1" si="21"/>
        <v>1338231.2445895332</v>
      </c>
      <c r="R53" s="35">
        <f t="shared" ca="1" si="21"/>
        <v>1345820.1322606506</v>
      </c>
      <c r="S53" s="35">
        <f t="shared" ca="1" si="21"/>
        <v>1353683.352503835</v>
      </c>
      <c r="T53" s="35">
        <f t="shared" ca="1" si="21"/>
        <v>1361820.9530983067</v>
      </c>
      <c r="U53" s="35">
        <f t="shared" ca="1" si="21"/>
        <v>1370232.9345167717</v>
      </c>
      <c r="V53" s="35">
        <f t="shared" ca="1" si="21"/>
        <v>1378919.2484241161</v>
      </c>
      <c r="W53" s="35">
        <f t="shared" ca="1" si="21"/>
        <v>1452784.9991649743</v>
      </c>
      <c r="X53" s="35">
        <f t="shared" ca="1" si="21"/>
        <v>1529640.3091282516</v>
      </c>
    </row>
    <row r="54" spans="1:24" x14ac:dyDescent="0.3">
      <c r="C54" s="21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1:24" x14ac:dyDescent="0.3">
      <c r="A55" t="s">
        <v>154</v>
      </c>
      <c r="C55" s="21" t="str">
        <f t="shared" si="17"/>
        <v>Rub '000'</v>
      </c>
      <c r="E55" s="38">
        <f>+Assumptions!E177</f>
        <v>400000</v>
      </c>
      <c r="F55" s="38">
        <f>+Assumptions!F177</f>
        <v>400000</v>
      </c>
      <c r="G55" s="38">
        <f>+Assumptions!G177</f>
        <v>400000</v>
      </c>
      <c r="H55" s="38">
        <f>+Assumptions!H177</f>
        <v>400000</v>
      </c>
      <c r="I55" s="38">
        <f>+Assumptions!I177</f>
        <v>400000</v>
      </c>
      <c r="J55" s="38">
        <f>+Assumptions!J177</f>
        <v>400000</v>
      </c>
      <c r="K55" s="38">
        <f>+Assumptions!K177</f>
        <v>400000</v>
      </c>
      <c r="L55" s="38">
        <f>+Assumptions!L177</f>
        <v>400000</v>
      </c>
      <c r="M55" s="38">
        <f>+Assumptions!M177</f>
        <v>400000</v>
      </c>
      <c r="N55" s="38">
        <f>+Assumptions!N177</f>
        <v>400000</v>
      </c>
      <c r="O55" s="38">
        <f>+Assumptions!O177</f>
        <v>400000</v>
      </c>
      <c r="P55" s="38">
        <f>+Assumptions!P177</f>
        <v>400000</v>
      </c>
      <c r="Q55" s="38">
        <f>+Assumptions!Q177</f>
        <v>400000</v>
      </c>
      <c r="R55" s="38">
        <f>+Assumptions!R177</f>
        <v>400000</v>
      </c>
      <c r="S55" s="38">
        <f>+Assumptions!S177</f>
        <v>400000</v>
      </c>
      <c r="T55" s="38">
        <f>+Assumptions!T177</f>
        <v>400000</v>
      </c>
      <c r="U55" s="38">
        <f>+Assumptions!U177</f>
        <v>400000</v>
      </c>
      <c r="V55" s="38">
        <f>+Assumptions!V177</f>
        <v>400000</v>
      </c>
      <c r="W55" s="38">
        <f>+Assumptions!W177</f>
        <v>400000</v>
      </c>
      <c r="X55" s="38">
        <f>+Assumptions!X177</f>
        <v>400000</v>
      </c>
    </row>
    <row r="56" spans="1:24" x14ac:dyDescent="0.3">
      <c r="A56" t="s">
        <v>155</v>
      </c>
      <c r="C56" s="21" t="str">
        <f t="shared" si="17"/>
        <v>Rub '000'</v>
      </c>
      <c r="E56" s="38">
        <f ca="1">+D56+E18</f>
        <v>-1282.0512820512829</v>
      </c>
      <c r="F56" s="38">
        <f t="shared" ref="F56:X56" ca="1" si="22">+E56+F18</f>
        <v>-18750.821827744898</v>
      </c>
      <c r="G56" s="38">
        <f t="shared" ca="1" si="22"/>
        <v>30472.877407190543</v>
      </c>
      <c r="H56" s="38">
        <f t="shared" ca="1" si="22"/>
        <v>74525.853921272894</v>
      </c>
      <c r="I56" s="38">
        <f t="shared" ca="1" si="22"/>
        <v>120340.41126737077</v>
      </c>
      <c r="J56" s="38">
        <f t="shared" ca="1" si="22"/>
        <v>167954.81272456836</v>
      </c>
      <c r="K56" s="38">
        <f t="shared" ca="1" si="22"/>
        <v>217408.16130745143</v>
      </c>
      <c r="L56" s="38">
        <f t="shared" ca="1" si="22"/>
        <v>268740.41806578642</v>
      </c>
      <c r="M56" s="38">
        <f t="shared" ca="1" si="22"/>
        <v>321992.42078173079</v>
      </c>
      <c r="N56" s="38">
        <f t="shared" ca="1" si="22"/>
        <v>377205.90307319892</v>
      </c>
      <c r="O56" s="38">
        <f t="shared" ca="1" si="22"/>
        <v>434423.5139121929</v>
      </c>
      <c r="P56" s="38">
        <f t="shared" ca="1" si="22"/>
        <v>493688.83756710077</v>
      </c>
      <c r="Q56" s="38">
        <f t="shared" ca="1" si="22"/>
        <v>555046.41397815756</v>
      </c>
      <c r="R56" s="38">
        <f t="shared" ca="1" si="22"/>
        <v>618541.75957546593</v>
      </c>
      <c r="S56" s="38">
        <f t="shared" ca="1" si="22"/>
        <v>684221.38854917511</v>
      </c>
      <c r="T56" s="38">
        <f t="shared" ca="1" si="22"/>
        <v>752132.83458162646</v>
      </c>
      <c r="U56" s="38">
        <f t="shared" ca="1" si="22"/>
        <v>822324.67305148533</v>
      </c>
      <c r="V56" s="38">
        <f t="shared" ca="1" si="22"/>
        <v>894846.54372009693</v>
      </c>
      <c r="W56" s="38">
        <f t="shared" ca="1" si="22"/>
        <v>969749.17391052598</v>
      </c>
      <c r="X56" s="38">
        <f t="shared" ca="1" si="22"/>
        <v>1045786.2981294433</v>
      </c>
    </row>
    <row r="57" spans="1:24" x14ac:dyDescent="0.3">
      <c r="A57" t="s">
        <v>156</v>
      </c>
      <c r="C57" s="21" t="str">
        <f t="shared" si="17"/>
        <v>Rub '000'</v>
      </c>
      <c r="E57" s="38">
        <f ca="1">+SUM(E55:E56)</f>
        <v>398717.94871794869</v>
      </c>
      <c r="F57" s="38">
        <f t="shared" ref="F57:X57" ca="1" si="23">+SUM(F55:F56)</f>
        <v>381249.17817225511</v>
      </c>
      <c r="G57" s="38">
        <f t="shared" ca="1" si="23"/>
        <v>430472.87740719056</v>
      </c>
      <c r="H57" s="38">
        <f t="shared" ca="1" si="23"/>
        <v>474525.85392127291</v>
      </c>
      <c r="I57" s="38">
        <f t="shared" ca="1" si="23"/>
        <v>520340.4112673708</v>
      </c>
      <c r="J57" s="38">
        <f t="shared" ca="1" si="23"/>
        <v>567954.81272456842</v>
      </c>
      <c r="K57" s="38">
        <f t="shared" ca="1" si="23"/>
        <v>617408.16130745143</v>
      </c>
      <c r="L57" s="38">
        <f t="shared" ca="1" si="23"/>
        <v>668740.41806578636</v>
      </c>
      <c r="M57" s="38">
        <f t="shared" ca="1" si="23"/>
        <v>721992.42078173079</v>
      </c>
      <c r="N57" s="38">
        <f t="shared" ca="1" si="23"/>
        <v>777205.90307319886</v>
      </c>
      <c r="O57" s="38">
        <f t="shared" ca="1" si="23"/>
        <v>834423.5139121929</v>
      </c>
      <c r="P57" s="38">
        <f t="shared" ca="1" si="23"/>
        <v>893688.83756710077</v>
      </c>
      <c r="Q57" s="38">
        <f t="shared" ca="1" si="23"/>
        <v>955046.41397815756</v>
      </c>
      <c r="R57" s="38">
        <f t="shared" ca="1" si="23"/>
        <v>1018541.7595754659</v>
      </c>
      <c r="S57" s="38">
        <f t="shared" ca="1" si="23"/>
        <v>1084221.3885491751</v>
      </c>
      <c r="T57" s="38">
        <f t="shared" ca="1" si="23"/>
        <v>1152132.8345816266</v>
      </c>
      <c r="U57" s="38">
        <f t="shared" ca="1" si="23"/>
        <v>1222324.6730514853</v>
      </c>
      <c r="V57" s="38">
        <f t="shared" ca="1" si="23"/>
        <v>1294846.5437200968</v>
      </c>
      <c r="W57" s="38">
        <f t="shared" ca="1" si="23"/>
        <v>1369749.1739105261</v>
      </c>
      <c r="X57" s="38">
        <f t="shared" ca="1" si="23"/>
        <v>1445786.2981294433</v>
      </c>
    </row>
    <row r="58" spans="1:24" x14ac:dyDescent="0.3">
      <c r="C58" s="21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4" x14ac:dyDescent="0.3">
      <c r="A59" t="s">
        <v>157</v>
      </c>
      <c r="C59" s="21" t="str">
        <f t="shared" si="17"/>
        <v>Rub '000'</v>
      </c>
      <c r="E59" s="38">
        <f ca="1">+Assumptions!E189</f>
        <v>51282.05128205131</v>
      </c>
      <c r="F59" s="38">
        <f ca="1">+Assumptions!F189</f>
        <v>698750.8218277446</v>
      </c>
      <c r="G59" s="38">
        <f ca="1">+Assumptions!G189</f>
        <v>775936.90354803018</v>
      </c>
      <c r="H59" s="38">
        <f ca="1">+Assumptions!H189</f>
        <v>736042.13269510225</v>
      </c>
      <c r="I59" s="38">
        <f ca="1">+Assumptions!I189</f>
        <v>694650.44786201103</v>
      </c>
      <c r="J59" s="38">
        <f ca="1">+Assumptions!J189</f>
        <v>651723.96375389141</v>
      </c>
      <c r="K59" s="38">
        <f ca="1">+Assumptions!K189</f>
        <v>607223.92050548748</v>
      </c>
      <c r="L59" s="38">
        <f ca="1">+Assumptions!L189</f>
        <v>561110.66420277895</v>
      </c>
      <c r="M59" s="38">
        <f ca="1">+Assumptions!M189</f>
        <v>513343.62697736133</v>
      </c>
      <c r="N59" s="38">
        <f ca="1">+Assumptions!N189</f>
        <v>463881.30666426913</v>
      </c>
      <c r="O59" s="38">
        <f ca="1">+Assumptions!O189</f>
        <v>412681.24601373379</v>
      </c>
      <c r="P59" s="38">
        <f ca="1">+Assumptions!P189</f>
        <v>359700.01144715754</v>
      </c>
      <c r="Q59" s="38">
        <f ca="1">+Assumptions!Q189</f>
        <v>304893.17134737561</v>
      </c>
      <c r="R59" s="38">
        <f ca="1">+Assumptions!R189</f>
        <v>248215.27387306304</v>
      </c>
      <c r="S59" s="38">
        <f ca="1">+Assumptions!S189</f>
        <v>189619.82428692115</v>
      </c>
      <c r="T59" s="38">
        <f ca="1">+Assumptions!T189</f>
        <v>129059.26178705569</v>
      </c>
      <c r="U59" s="38">
        <f ca="1">+Assumptions!U189</f>
        <v>66484.935830726114</v>
      </c>
      <c r="V59" s="38">
        <f ca="1">+Assumptions!V189</f>
        <v>1847.0819394125429</v>
      </c>
      <c r="W59" s="38">
        <f ca="1">+Assumptions!W189</f>
        <v>-2.1827872842550278E-11</v>
      </c>
      <c r="X59" s="38">
        <f ca="1">+Assumptions!X189</f>
        <v>-1.1496013030409813E-9</v>
      </c>
    </row>
    <row r="60" spans="1:24" x14ac:dyDescent="0.3">
      <c r="A60" t="s">
        <v>158</v>
      </c>
      <c r="C60" s="21" t="str">
        <f t="shared" si="17"/>
        <v>Rub '000'</v>
      </c>
      <c r="E60" s="38">
        <f>+Assumptions!E156</f>
        <v>0</v>
      </c>
      <c r="F60" s="38">
        <f>+Assumptions!F156</f>
        <v>0</v>
      </c>
      <c r="G60" s="38">
        <f>+Assumptions!G156</f>
        <v>70979.371433114255</v>
      </c>
      <c r="H60" s="38">
        <f>+Assumptions!H156</f>
        <v>71678.760036435007</v>
      </c>
      <c r="I60" s="38">
        <f>+Assumptions!I156</f>
        <v>72385.039999999964</v>
      </c>
      <c r="J60" s="38">
        <f>+Assumptions!J156</f>
        <v>73098.279227183331</v>
      </c>
      <c r="K60" s="38">
        <f>+Assumptions!K156</f>
        <v>73818.546290438826</v>
      </c>
      <c r="L60" s="38">
        <f>+Assumptions!L156</f>
        <v>74545.91043789238</v>
      </c>
      <c r="M60" s="38">
        <f>+Assumptions!M156</f>
        <v>75280.441599999962</v>
      </c>
      <c r="N60" s="38">
        <f>+Assumptions!N156</f>
        <v>76022.210396270661</v>
      </c>
      <c r="O60" s="38">
        <f>+Assumptions!O156</f>
        <v>76771.288142056364</v>
      </c>
      <c r="P60" s="38">
        <f>+Assumptions!P156</f>
        <v>77527.74685540807</v>
      </c>
      <c r="Q60" s="38">
        <f>+Assumptions!Q156</f>
        <v>78291.659263999944</v>
      </c>
      <c r="R60" s="38">
        <f>+Assumptions!R156</f>
        <v>79063.098812121476</v>
      </c>
      <c r="S60" s="38">
        <f>+Assumptions!S156</f>
        <v>79842.139667738607</v>
      </c>
      <c r="T60" s="38">
        <f>+Assumptions!T156</f>
        <v>80628.8567296244</v>
      </c>
      <c r="U60" s="38">
        <f>+Assumptions!U156</f>
        <v>81423.325634559966</v>
      </c>
      <c r="V60" s="38">
        <f>+Assumptions!V156</f>
        <v>82225.622764606334</v>
      </c>
      <c r="W60" s="38">
        <f>+Assumptions!W156</f>
        <v>83035.825254448151</v>
      </c>
      <c r="X60" s="38">
        <f>+Assumptions!X156</f>
        <v>83854.010998809346</v>
      </c>
    </row>
    <row r="61" spans="1:24" x14ac:dyDescent="0.3"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1:24" s="16" customFormat="1" x14ac:dyDescent="0.3">
      <c r="A62" s="16" t="s">
        <v>159</v>
      </c>
      <c r="C62" s="16" t="str">
        <f t="shared" si="17"/>
        <v>Rub '000'</v>
      </c>
      <c r="E62" s="35">
        <f ca="1">+E57+E59+E60</f>
        <v>450000</v>
      </c>
      <c r="F62" s="35">
        <f t="shared" ref="F62:X62" ca="1" si="24">+F57+F59+F60</f>
        <v>1079999.9999999998</v>
      </c>
      <c r="G62" s="35">
        <f t="shared" ca="1" si="24"/>
        <v>1277389.152388335</v>
      </c>
      <c r="H62" s="35">
        <f t="shared" ca="1" si="24"/>
        <v>1282246.7466528101</v>
      </c>
      <c r="I62" s="35">
        <f t="shared" ca="1" si="24"/>
        <v>1287375.8991293819</v>
      </c>
      <c r="J62" s="35">
        <f t="shared" ca="1" si="24"/>
        <v>1292777.0557056433</v>
      </c>
      <c r="K62" s="35">
        <f t="shared" ca="1" si="24"/>
        <v>1298450.6281033778</v>
      </c>
      <c r="L62" s="35">
        <f t="shared" ca="1" si="24"/>
        <v>1304396.9927064579</v>
      </c>
      <c r="M62" s="35">
        <f t="shared" ca="1" si="24"/>
        <v>1310616.4893590922</v>
      </c>
      <c r="N62" s="35">
        <f t="shared" ca="1" si="24"/>
        <v>1317109.4201337388</v>
      </c>
      <c r="O62" s="35">
        <f t="shared" ca="1" si="24"/>
        <v>1323876.048067983</v>
      </c>
      <c r="P62" s="35">
        <f t="shared" ca="1" si="24"/>
        <v>1330916.5958696664</v>
      </c>
      <c r="Q62" s="35">
        <f t="shared" ca="1" si="24"/>
        <v>1338231.244589533</v>
      </c>
      <c r="R62" s="35">
        <f t="shared" ca="1" si="24"/>
        <v>1345820.1322606504</v>
      </c>
      <c r="S62" s="35">
        <f t="shared" ca="1" si="24"/>
        <v>1353683.352503835</v>
      </c>
      <c r="T62" s="35">
        <f t="shared" ca="1" si="24"/>
        <v>1361820.9530983067</v>
      </c>
      <c r="U62" s="35">
        <f t="shared" ca="1" si="24"/>
        <v>1370232.9345167712</v>
      </c>
      <c r="V62" s="35">
        <f t="shared" ca="1" si="24"/>
        <v>1378919.2484241156</v>
      </c>
      <c r="W62" s="35">
        <f t="shared" ca="1" si="24"/>
        <v>1452784.9991649743</v>
      </c>
      <c r="X62" s="35">
        <f t="shared" ca="1" si="24"/>
        <v>1529640.3091282514</v>
      </c>
    </row>
    <row r="63" spans="1:24" x14ac:dyDescent="0.3">
      <c r="A63" t="s">
        <v>160</v>
      </c>
      <c r="E63" s="48">
        <f ca="1">+E53-E62</f>
        <v>0</v>
      </c>
      <c r="F63" s="48">
        <f t="shared" ref="F63:X63" ca="1" si="25">+F53-F62</f>
        <v>0</v>
      </c>
      <c r="G63" s="48">
        <f t="shared" ca="1" si="25"/>
        <v>0</v>
      </c>
      <c r="H63" s="48">
        <f t="shared" ca="1" si="25"/>
        <v>0</v>
      </c>
      <c r="I63" s="48">
        <f t="shared" ca="1" si="25"/>
        <v>0</v>
      </c>
      <c r="J63" s="48">
        <f t="shared" ca="1" si="25"/>
        <v>0</v>
      </c>
      <c r="K63" s="48">
        <f t="shared" ca="1" si="25"/>
        <v>0</v>
      </c>
      <c r="L63" s="48">
        <f t="shared" ca="1" si="25"/>
        <v>0</v>
      </c>
      <c r="M63" s="48">
        <f t="shared" ca="1" si="25"/>
        <v>0</v>
      </c>
      <c r="N63" s="48">
        <f t="shared" ca="1" si="25"/>
        <v>0</v>
      </c>
      <c r="O63" s="48">
        <f t="shared" ca="1" si="25"/>
        <v>0</v>
      </c>
      <c r="P63" s="48">
        <f t="shared" ca="1" si="25"/>
        <v>0</v>
      </c>
      <c r="Q63" s="48">
        <f t="shared" ca="1" si="25"/>
        <v>0</v>
      </c>
      <c r="R63" s="48">
        <f t="shared" ca="1" si="25"/>
        <v>0</v>
      </c>
      <c r="S63" s="48">
        <f t="shared" ca="1" si="25"/>
        <v>0</v>
      </c>
      <c r="T63" s="48">
        <f t="shared" ca="1" si="25"/>
        <v>0</v>
      </c>
      <c r="U63" s="48">
        <f t="shared" ca="1" si="25"/>
        <v>0</v>
      </c>
      <c r="V63" s="48">
        <f t="shared" ca="1" si="25"/>
        <v>0</v>
      </c>
      <c r="W63" s="48">
        <f t="shared" ca="1" si="25"/>
        <v>0</v>
      </c>
      <c r="X63" s="48">
        <f t="shared" ca="1" si="25"/>
        <v>0</v>
      </c>
    </row>
  </sheetData>
  <mergeCells count="1">
    <mergeCell ref="A1:A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B6DF-DA26-4099-AD05-B11C3F09CE7C}">
  <dimension ref="A1:X47"/>
  <sheetViews>
    <sheetView zoomScale="60" zoomScaleNormal="60" workbookViewId="0">
      <pane xSplit="4" ySplit="2" topLeftCell="E3" activePane="bottomRight" state="frozen"/>
      <selection activeCell="B5" sqref="B5"/>
      <selection pane="topRight" activeCell="B5" sqref="B5"/>
      <selection pane="bottomLeft" activeCell="B5" sqref="B5"/>
      <selection pane="bottomRight" activeCell="B12" sqref="B12"/>
    </sheetView>
  </sheetViews>
  <sheetFormatPr defaultRowHeight="14.4" x14ac:dyDescent="0.3"/>
  <cols>
    <col min="1" max="1" width="35.77734375" customWidth="1"/>
    <col min="2" max="2" width="13.109375" bestFit="1" customWidth="1"/>
    <col min="3" max="3" width="10.77734375" customWidth="1"/>
    <col min="4" max="4" width="1.5546875" customWidth="1"/>
    <col min="5" max="5" width="11.33203125" bestFit="1" customWidth="1"/>
    <col min="6" max="6" width="10.6640625" bestFit="1" customWidth="1"/>
    <col min="7" max="12" width="12.6640625" bestFit="1" customWidth="1"/>
    <col min="13" max="13" width="10.77734375" customWidth="1"/>
    <col min="14" max="24" width="12.6640625" bestFit="1" customWidth="1"/>
  </cols>
  <sheetData>
    <row r="1" spans="1:24" x14ac:dyDescent="0.3">
      <c r="A1" s="70" t="s">
        <v>8</v>
      </c>
      <c r="E1" s="4">
        <f>+Macro!E1</f>
        <v>1</v>
      </c>
      <c r="F1" s="4">
        <f>+Macro!F1</f>
        <v>2</v>
      </c>
      <c r="G1" s="4">
        <f>+Macro!G1</f>
        <v>3</v>
      </c>
      <c r="H1" s="4">
        <f>+Macro!H1</f>
        <v>4</v>
      </c>
      <c r="I1" s="4">
        <f>+Macro!I1</f>
        <v>5</v>
      </c>
      <c r="J1" s="4">
        <f>+Macro!J1</f>
        <v>6</v>
      </c>
      <c r="K1" s="4">
        <f>+Macro!K1</f>
        <v>7</v>
      </c>
      <c r="L1" s="4">
        <f>+Macro!L1</f>
        <v>8</v>
      </c>
      <c r="M1" s="4">
        <f>+Macro!M1</f>
        <v>9</v>
      </c>
      <c r="N1" s="4">
        <f>+Macro!N1</f>
        <v>10</v>
      </c>
      <c r="O1" s="4">
        <f>+Macro!O1</f>
        <v>11</v>
      </c>
      <c r="P1" s="4">
        <f>+Macro!P1</f>
        <v>12</v>
      </c>
      <c r="Q1" s="4">
        <f>+Macro!Q1</f>
        <v>13</v>
      </c>
      <c r="R1" s="4">
        <f>+Macro!R1</f>
        <v>14</v>
      </c>
      <c r="S1" s="4">
        <f>+Macro!S1</f>
        <v>15</v>
      </c>
      <c r="T1" s="4">
        <f>+Macro!T1</f>
        <v>16</v>
      </c>
      <c r="U1" s="4">
        <f>+Macro!U1</f>
        <v>17</v>
      </c>
      <c r="V1" s="4">
        <f>+Macro!V1</f>
        <v>18</v>
      </c>
      <c r="W1" s="4">
        <f>+Macro!W1</f>
        <v>19</v>
      </c>
      <c r="X1" s="4">
        <f>+Macro!X1</f>
        <v>20</v>
      </c>
    </row>
    <row r="2" spans="1:24" x14ac:dyDescent="0.3">
      <c r="A2" s="70"/>
      <c r="E2" s="8" t="str">
        <f>+Macro!E2</f>
        <v>1Q 2024</v>
      </c>
      <c r="F2" s="8" t="str">
        <f>+Macro!F2</f>
        <v>2Q 2024</v>
      </c>
      <c r="G2" s="8" t="str">
        <f>+Macro!G2</f>
        <v>3Q 2024</v>
      </c>
      <c r="H2" s="8" t="str">
        <f>+Macro!H2</f>
        <v>4Q 2024</v>
      </c>
      <c r="I2" s="8" t="str">
        <f>+Macro!I2</f>
        <v>1Q 2025</v>
      </c>
      <c r="J2" s="8" t="str">
        <f>+Macro!J2</f>
        <v>2Q 2025</v>
      </c>
      <c r="K2" s="8" t="str">
        <f>+Macro!K2</f>
        <v>3Q 2025</v>
      </c>
      <c r="L2" s="8" t="str">
        <f>+Macro!L2</f>
        <v>4Q 2025</v>
      </c>
      <c r="M2" s="8" t="str">
        <f>+Macro!M2</f>
        <v>1Q 2026</v>
      </c>
      <c r="N2" s="8" t="str">
        <f>+Macro!N2</f>
        <v>2Q 2026</v>
      </c>
      <c r="O2" s="8" t="str">
        <f>+Macro!O2</f>
        <v>3Q 2026</v>
      </c>
      <c r="P2" s="8" t="str">
        <f>+Macro!P2</f>
        <v>4Q 2026</v>
      </c>
      <c r="Q2" s="8" t="str">
        <f>+Macro!Q2</f>
        <v>1Q 2027</v>
      </c>
      <c r="R2" s="8" t="str">
        <f>+Macro!R2</f>
        <v>2Q 2027</v>
      </c>
      <c r="S2" s="8" t="str">
        <f>+Macro!S2</f>
        <v>3Q 2027</v>
      </c>
      <c r="T2" s="8" t="str">
        <f>+Macro!T2</f>
        <v>4Q 2027</v>
      </c>
      <c r="U2" s="8" t="str">
        <f>+Macro!U2</f>
        <v>1Q 2028</v>
      </c>
      <c r="V2" s="8" t="str">
        <f>+Macro!V2</f>
        <v>2Q 2028</v>
      </c>
      <c r="W2" s="8" t="str">
        <f>+Macro!W2</f>
        <v>3Q 2028</v>
      </c>
      <c r="X2" s="8" t="str">
        <f>+Macro!X2</f>
        <v>4Q 2028</v>
      </c>
    </row>
    <row r="4" spans="1:24" ht="24.6" customHeight="1" thickBot="1" x14ac:dyDescent="0.35">
      <c r="A4" s="6" t="str">
        <f>+UPPER("DCF Analysis for Equity")</f>
        <v>DCF ANALYSIS FOR EQUITY</v>
      </c>
      <c r="B4" s="6"/>
      <c r="C4" s="6"/>
      <c r="D4" s="6"/>
      <c r="E4" s="7" t="str">
        <f t="shared" ref="E4:X4" si="0">+E$2</f>
        <v>1Q 2024</v>
      </c>
      <c r="F4" s="7" t="str">
        <f t="shared" si="0"/>
        <v>2Q 2024</v>
      </c>
      <c r="G4" s="7" t="str">
        <f t="shared" si="0"/>
        <v>3Q 2024</v>
      </c>
      <c r="H4" s="7" t="str">
        <f t="shared" si="0"/>
        <v>4Q 2024</v>
      </c>
      <c r="I4" s="7" t="str">
        <f>+I$2</f>
        <v>1Q 2025</v>
      </c>
      <c r="J4" s="7" t="str">
        <f t="shared" si="0"/>
        <v>2Q 2025</v>
      </c>
      <c r="K4" s="7" t="str">
        <f t="shared" si="0"/>
        <v>3Q 2025</v>
      </c>
      <c r="L4" s="7" t="str">
        <f t="shared" si="0"/>
        <v>4Q 2025</v>
      </c>
      <c r="M4" s="7" t="str">
        <f t="shared" si="0"/>
        <v>1Q 2026</v>
      </c>
      <c r="N4" s="7" t="str">
        <f t="shared" si="0"/>
        <v>2Q 2026</v>
      </c>
      <c r="O4" s="7" t="str">
        <f t="shared" si="0"/>
        <v>3Q 2026</v>
      </c>
      <c r="P4" s="7" t="str">
        <f t="shared" si="0"/>
        <v>4Q 2026</v>
      </c>
      <c r="Q4" s="7" t="str">
        <f t="shared" si="0"/>
        <v>1Q 2027</v>
      </c>
      <c r="R4" s="7" t="str">
        <f t="shared" si="0"/>
        <v>2Q 2027</v>
      </c>
      <c r="S4" s="7" t="str">
        <f t="shared" si="0"/>
        <v>3Q 2027</v>
      </c>
      <c r="T4" s="7" t="str">
        <f t="shared" si="0"/>
        <v>4Q 2027</v>
      </c>
      <c r="U4" s="7" t="str">
        <f t="shared" si="0"/>
        <v>1Q 2028</v>
      </c>
      <c r="V4" s="7" t="str">
        <f t="shared" si="0"/>
        <v>2Q 2028</v>
      </c>
      <c r="W4" s="7" t="str">
        <f t="shared" si="0"/>
        <v>3Q 2028</v>
      </c>
      <c r="X4" s="7" t="str">
        <f t="shared" si="0"/>
        <v>4Q 2028</v>
      </c>
    </row>
    <row r="5" spans="1:24" ht="15" thickTop="1" x14ac:dyDescent="0.3"/>
    <row r="6" spans="1:24" x14ac:dyDescent="0.3">
      <c r="A6" t="s">
        <v>190</v>
      </c>
      <c r="C6" t="str">
        <f>+Currency</f>
        <v>Rub '000'</v>
      </c>
      <c r="E6" s="38">
        <f ca="1">+Reports!E26+Reports!E29+Reports!E32+Reports!E33</f>
        <v>-400000</v>
      </c>
      <c r="F6" s="38">
        <f ca="1">+Reports!F26+Reports!F29+Reports!F32+Reports!F33</f>
        <v>-2.3283064365386963E-10</v>
      </c>
      <c r="G6" s="38">
        <f ca="1">+Reports!G26+Reports!G29+Reports!G32+Reports!G33</f>
        <v>-1.4551915228366852E-11</v>
      </c>
      <c r="H6" s="38">
        <f ca="1">+Reports!H26+Reports!H29+Reports!H32+Reports!H33</f>
        <v>29646.596720814363</v>
      </c>
      <c r="I6" s="38">
        <f ca="1">+Reports!I26+Reports!I29+Reports!I32+Reports!I33</f>
        <v>29896.369075234397</v>
      </c>
      <c r="J6" s="38">
        <f ca="1">+Reports!J26+Reports!J29+Reports!J32+Reports!J33</f>
        <v>30146.372652334932</v>
      </c>
      <c r="K6" s="38">
        <f ca="1">+Reports!K26+Reports!K29+Reports!K32+Reports!K33</f>
        <v>30396.57117112563</v>
      </c>
      <c r="L6" s="38">
        <f ca="1">+Reports!L26+Reports!L29+Reports!L32+Reports!L33</f>
        <v>30646.92715767285</v>
      </c>
      <c r="M6" s="38">
        <f ca="1">+Reports!M26+Reports!M29+Reports!M32+Reports!M33</f>
        <v>30897.401915243565</v>
      </c>
      <c r="N6" s="38">
        <f ca="1">+Reports!N26+Reports!N29+Reports!N32+Reports!N33</f>
        <v>31147.955493763126</v>
      </c>
      <c r="O6" s="38">
        <f ca="1">+Reports!O26+Reports!O29+Reports!O32+Reports!O33</f>
        <v>31398.546658571031</v>
      </c>
      <c r="P6" s="38">
        <f ca="1">+Reports!P26+Reports!P29+Reports!P32+Reports!P33</f>
        <v>31649.132858459787</v>
      </c>
      <c r="Q6" s="38">
        <f ca="1">+Reports!Q26+Reports!Q29+Reports!Q32+Reports!Q33</f>
        <v>31899.670192980426</v>
      </c>
      <c r="R6" s="38">
        <f ca="1">+Reports!R26+Reports!R29+Reports!R32+Reports!R33</f>
        <v>32150.113378998489</v>
      </c>
      <c r="S6" s="38">
        <f ca="1">+Reports!S26+Reports!S29+Reports!S32+Reports!S33</f>
        <v>32400.415716484218</v>
      </c>
      <c r="T6" s="38">
        <f ca="1">+Reports!T26+Reports!T29+Reports!T32+Reports!T33</f>
        <v>32650.529053519247</v>
      </c>
      <c r="U6" s="38">
        <f ca="1">+Reports!U26+Reports!U29+Reports!U32+Reports!U33</f>
        <v>32900.403750502977</v>
      </c>
      <c r="V6" s="38">
        <f ca="1">+Reports!V26+Reports!V29+Reports!V32+Reports!V33</f>
        <v>33149.98864354087</v>
      </c>
      <c r="W6" s="38">
        <f ca="1">+Reports!W26+Reports!W29+Reports!W32+Reports!W33</f>
        <v>98304.434033090656</v>
      </c>
      <c r="X6" s="38">
        <f ca="1">+Reports!X26+Reports!X29+Reports!X32+Reports!X33</f>
        <v>101268.75556077302</v>
      </c>
    </row>
    <row r="7" spans="1:24" x14ac:dyDescent="0.3">
      <c r="A7" t="s">
        <v>191</v>
      </c>
      <c r="B7" s="55">
        <v>0.2</v>
      </c>
      <c r="C7" s="11" t="s">
        <v>14</v>
      </c>
      <c r="E7" s="14">
        <f>+B7</f>
        <v>0.2</v>
      </c>
      <c r="F7" s="14">
        <f>+E7</f>
        <v>0.2</v>
      </c>
      <c r="G7" s="14">
        <f t="shared" ref="G7:X7" si="1">+F7</f>
        <v>0.2</v>
      </c>
      <c r="H7" s="14">
        <f t="shared" si="1"/>
        <v>0.2</v>
      </c>
      <c r="I7" s="14">
        <f t="shared" si="1"/>
        <v>0.2</v>
      </c>
      <c r="J7" s="14">
        <f t="shared" si="1"/>
        <v>0.2</v>
      </c>
      <c r="K7" s="14">
        <f t="shared" si="1"/>
        <v>0.2</v>
      </c>
      <c r="L7" s="14">
        <f t="shared" si="1"/>
        <v>0.2</v>
      </c>
      <c r="M7" s="14">
        <f t="shared" si="1"/>
        <v>0.2</v>
      </c>
      <c r="N7" s="14">
        <f t="shared" si="1"/>
        <v>0.2</v>
      </c>
      <c r="O7" s="14">
        <f t="shared" si="1"/>
        <v>0.2</v>
      </c>
      <c r="P7" s="14">
        <f t="shared" si="1"/>
        <v>0.2</v>
      </c>
      <c r="Q7" s="14">
        <f t="shared" si="1"/>
        <v>0.2</v>
      </c>
      <c r="R7" s="14">
        <f t="shared" si="1"/>
        <v>0.2</v>
      </c>
      <c r="S7" s="14">
        <f t="shared" si="1"/>
        <v>0.2</v>
      </c>
      <c r="T7" s="14">
        <f t="shared" si="1"/>
        <v>0.2</v>
      </c>
      <c r="U7" s="14">
        <f t="shared" si="1"/>
        <v>0.2</v>
      </c>
      <c r="V7" s="14">
        <f t="shared" si="1"/>
        <v>0.2</v>
      </c>
      <c r="W7" s="14">
        <f t="shared" si="1"/>
        <v>0.2</v>
      </c>
      <c r="X7" s="14">
        <f t="shared" si="1"/>
        <v>0.2</v>
      </c>
    </row>
    <row r="8" spans="1:24" x14ac:dyDescent="0.3">
      <c r="A8" t="s">
        <v>192</v>
      </c>
      <c r="C8" s="11" t="s">
        <v>17</v>
      </c>
      <c r="E8">
        <v>1</v>
      </c>
      <c r="F8" s="10">
        <f>E8/(1+E7)^(Macro!E5/12)</f>
        <v>0.95544279220436679</v>
      </c>
      <c r="G8" s="10">
        <f>F8/(1+F7)^(Macro!F5/12)</f>
        <v>0.91287092917527679</v>
      </c>
      <c r="H8" s="10">
        <f>G8/(1+G7)^(Macro!G5/12)</f>
        <v>0.87219594949342116</v>
      </c>
      <c r="I8" s="10">
        <f>H8/(1+H7)^(Macro!H5/12)</f>
        <v>0.83333333333333315</v>
      </c>
      <c r="J8" s="10">
        <f>I8/(1+I7)^(Macro!I5/12)</f>
        <v>0.79620232683697212</v>
      </c>
      <c r="K8" s="10">
        <f>J8/(1+J7)^(Macro!J5/12)</f>
        <v>0.76072577431273047</v>
      </c>
      <c r="L8" s="10">
        <f>K8/(1+K7)^(Macro!K5/12)</f>
        <v>0.7268299579111841</v>
      </c>
      <c r="M8" s="10">
        <f>L8/(1+L7)^(Macro!L5/12)</f>
        <v>0.69444444444444409</v>
      </c>
      <c r="N8" s="10">
        <f>M8/(1+M7)^(Macro!M5/12)</f>
        <v>0.6635019390308099</v>
      </c>
      <c r="O8" s="10">
        <f>N8/(1+N7)^(Macro!N5/12)</f>
        <v>0.63393814526060854</v>
      </c>
      <c r="P8" s="10">
        <f>O8/(1+O7)^(Macro!O5/12)</f>
        <v>0.60569163159265327</v>
      </c>
      <c r="Q8" s="10">
        <f>P8/(1+P7)^(Macro!P5/12)</f>
        <v>0.57870370370370328</v>
      </c>
      <c r="R8" s="10">
        <f>Q8/(1+Q7)^(Macro!Q5/12)</f>
        <v>0.55291828252567476</v>
      </c>
      <c r="S8" s="10">
        <f>R8/(1+R7)^(Macro!R5/12)</f>
        <v>0.5282817877171736</v>
      </c>
      <c r="T8" s="10">
        <f>S8/(1+S7)^(Macro!S5/12)</f>
        <v>0.50474302632721091</v>
      </c>
      <c r="U8" s="10">
        <f>T8/(1+T7)^(Macro!T5/12)</f>
        <v>0.48225308641975256</v>
      </c>
      <c r="V8" s="10">
        <f>U8/(1+U7)^(Macro!U5/12)</f>
        <v>0.46076523543806219</v>
      </c>
      <c r="W8" s="10">
        <f>V8/(1+V7)^(Macro!V5/12)</f>
        <v>0.44023482309764456</v>
      </c>
      <c r="X8" s="10">
        <f>W8/(1+W7)^(Macro!W5/12)</f>
        <v>0.42061918860600894</v>
      </c>
    </row>
    <row r="9" spans="1:24" x14ac:dyDescent="0.3">
      <c r="A9" t="s">
        <v>193</v>
      </c>
      <c r="C9" t="str">
        <f>+Currency</f>
        <v>Rub '000'</v>
      </c>
      <c r="E9" s="19">
        <f ca="1">+E8*E6</f>
        <v>-400000</v>
      </c>
      <c r="F9" s="19">
        <f t="shared" ref="F9:X9" ca="1" si="2">+F8*F6</f>
        <v>-2.2245636028339313E-10</v>
      </c>
      <c r="G9" s="19">
        <f t="shared" ca="1" si="2"/>
        <v>-1.3284020375799108E-11</v>
      </c>
      <c r="H9" s="19">
        <f t="shared" ca="1" si="2"/>
        <v>25857.641576159229</v>
      </c>
      <c r="I9" s="19">
        <f t="shared" ca="1" si="2"/>
        <v>24913.640896028657</v>
      </c>
      <c r="J9" s="19">
        <f t="shared" ca="1" si="2"/>
        <v>24002.612051483535</v>
      </c>
      <c r="K9" s="19">
        <f t="shared" ca="1" si="2"/>
        <v>23123.455140606566</v>
      </c>
      <c r="L9" s="19">
        <f t="shared" ca="1" si="2"/>
        <v>22275.104776118482</v>
      </c>
      <c r="M9" s="19">
        <f t="shared" ca="1" si="2"/>
        <v>21456.529107808019</v>
      </c>
      <c r="N9" s="19">
        <f t="shared" ca="1" si="2"/>
        <v>20666.728866957201</v>
      </c>
      <c r="O9" s="19">
        <f t="shared" ca="1" si="2"/>
        <v>19904.736432613197</v>
      </c>
      <c r="P9" s="19">
        <f t="shared" ca="1" si="2"/>
        <v>19169.614919533164</v>
      </c>
      <c r="Q9" s="19">
        <f t="shared" ca="1" si="2"/>
        <v>18460.4572876044</v>
      </c>
      <c r="R9" s="19">
        <f t="shared" ca="1" si="2"/>
        <v>17776.385472521564</v>
      </c>
      <c r="S9" s="19">
        <f t="shared" ca="1" si="2"/>
        <v>17116.54953748389</v>
      </c>
      <c r="T9" s="19">
        <f t="shared" ca="1" si="2"/>
        <v>16480.126845657829</v>
      </c>
      <c r="U9" s="19">
        <f t="shared" ca="1" si="2"/>
        <v>15866.321253136064</v>
      </c>
      <c r="V9" s="19">
        <f t="shared" ca="1" si="2"/>
        <v>15274.362322110197</v>
      </c>
      <c r="W9" s="19">
        <f t="shared" ca="1" si="2"/>
        <v>43277.03512627173</v>
      </c>
      <c r="X9" s="19">
        <f t="shared" ca="1" si="2"/>
        <v>42595.581795112601</v>
      </c>
    </row>
    <row r="10" spans="1:24" x14ac:dyDescent="0.3">
      <c r="A10" t="s">
        <v>194</v>
      </c>
      <c r="C10" t="str">
        <f>+Currency</f>
        <v>Rub '000'</v>
      </c>
      <c r="E10" s="22">
        <f ca="1">+D10+E9</f>
        <v>-400000</v>
      </c>
      <c r="F10" s="22">
        <f t="shared" ref="F10:X10" ca="1" si="3">+E10+F9</f>
        <v>-400000.00000000023</v>
      </c>
      <c r="G10" s="22">
        <f t="shared" ca="1" si="3"/>
        <v>-400000.00000000023</v>
      </c>
      <c r="H10" s="22">
        <f t="shared" ca="1" si="3"/>
        <v>-374142.35842384101</v>
      </c>
      <c r="I10" s="22">
        <f t="shared" ca="1" si="3"/>
        <v>-349228.71752781235</v>
      </c>
      <c r="J10" s="22">
        <f t="shared" ca="1" si="3"/>
        <v>-325226.10547632881</v>
      </c>
      <c r="K10" s="22">
        <f t="shared" ca="1" si="3"/>
        <v>-302102.65033572225</v>
      </c>
      <c r="L10" s="22">
        <f t="shared" ca="1" si="3"/>
        <v>-279827.54555960378</v>
      </c>
      <c r="M10" s="22">
        <f t="shared" ca="1" si="3"/>
        <v>-258371.01645179576</v>
      </c>
      <c r="N10" s="22">
        <f t="shared" ca="1" si="3"/>
        <v>-237704.28758483857</v>
      </c>
      <c r="O10" s="22">
        <f t="shared" ca="1" si="3"/>
        <v>-217799.55115222538</v>
      </c>
      <c r="P10" s="22">
        <f t="shared" ca="1" si="3"/>
        <v>-198629.93623269221</v>
      </c>
      <c r="Q10" s="22">
        <f t="shared" ca="1" si="3"/>
        <v>-180169.47894508782</v>
      </c>
      <c r="R10" s="22">
        <f t="shared" ca="1" si="3"/>
        <v>-162393.09347256625</v>
      </c>
      <c r="S10" s="22">
        <f t="shared" ca="1" si="3"/>
        <v>-145276.54393508236</v>
      </c>
      <c r="T10" s="22">
        <f t="shared" ca="1" si="3"/>
        <v>-128796.41708942453</v>
      </c>
      <c r="U10" s="22">
        <f t="shared" ca="1" si="3"/>
        <v>-112930.09583628847</v>
      </c>
      <c r="V10" s="22">
        <f t="shared" ca="1" si="3"/>
        <v>-97655.733514178268</v>
      </c>
      <c r="W10" s="22">
        <f t="shared" ca="1" si="3"/>
        <v>-54378.698387906537</v>
      </c>
      <c r="X10" s="22">
        <f t="shared" ca="1" si="3"/>
        <v>-11783.116592793936</v>
      </c>
    </row>
    <row r="12" spans="1:24" x14ac:dyDescent="0.3">
      <c r="A12" t="s">
        <v>195</v>
      </c>
      <c r="B12" s="56">
        <f ca="1">+X10</f>
        <v>-11783.116592793936</v>
      </c>
      <c r="C12" t="str">
        <f>+Currency</f>
        <v>Rub '000'</v>
      </c>
    </row>
    <row r="13" spans="1:24" x14ac:dyDescent="0.3">
      <c r="A13" t="s">
        <v>196</v>
      </c>
      <c r="B13" s="57">
        <f ca="1">+XIRR(E6:X6,Macro!E7:X7,0)</f>
        <v>0.18971751464843756</v>
      </c>
      <c r="C13" s="11" t="s">
        <v>14</v>
      </c>
    </row>
    <row r="14" spans="1:24" x14ac:dyDescent="0.3">
      <c r="B14" s="57"/>
      <c r="C14" s="11"/>
    </row>
    <row r="15" spans="1:24" x14ac:dyDescent="0.3">
      <c r="A15" t="s">
        <v>199</v>
      </c>
      <c r="B15" s="58">
        <f ca="1">+Reports!X53-Reports!X59-Reports!X60-Reports!X50</f>
        <v>775236.11409633234</v>
      </c>
      <c r="C15" t="str">
        <f>+Currency</f>
        <v>Rub '000'</v>
      </c>
    </row>
    <row r="16" spans="1:24" x14ac:dyDescent="0.3">
      <c r="A16" t="s">
        <v>200</v>
      </c>
      <c r="B16" s="58">
        <f ca="1">+B15*X8</f>
        <v>326079.18528927467</v>
      </c>
      <c r="C16" t="str">
        <f>+Currency</f>
        <v>Rub '000'</v>
      </c>
    </row>
    <row r="17" spans="1:3" x14ac:dyDescent="0.3">
      <c r="A17" t="s">
        <v>201</v>
      </c>
      <c r="B17" s="59">
        <f ca="1">+B16+B12</f>
        <v>314296.06869648071</v>
      </c>
      <c r="C17" t="str">
        <f>+Currency</f>
        <v>Rub '000'</v>
      </c>
    </row>
    <row r="18" spans="1:3" x14ac:dyDescent="0.3">
      <c r="B18" s="57"/>
      <c r="C18" s="11"/>
    </row>
    <row r="19" spans="1:3" x14ac:dyDescent="0.3">
      <c r="A19" t="s">
        <v>202</v>
      </c>
      <c r="B19" s="58">
        <f>+Reports!X14*(1-Macro!X23)</f>
        <v>76037.124218917379</v>
      </c>
      <c r="C19" t="str">
        <f>+Currency</f>
        <v>Rub '000'</v>
      </c>
    </row>
    <row r="20" spans="1:3" x14ac:dyDescent="0.3">
      <c r="A20" t="s">
        <v>203</v>
      </c>
      <c r="B20" s="58">
        <f>+B19*(12/Macro!X5)</f>
        <v>304148.49687566952</v>
      </c>
      <c r="C20" t="str">
        <f>+Currency</f>
        <v>Rub '000'</v>
      </c>
    </row>
    <row r="21" spans="1:3" x14ac:dyDescent="0.3">
      <c r="A21" t="s">
        <v>204</v>
      </c>
      <c r="B21" s="60">
        <v>0.04</v>
      </c>
      <c r="C21" s="11" t="s">
        <v>14</v>
      </c>
    </row>
    <row r="22" spans="1:3" x14ac:dyDescent="0.3">
      <c r="A22" t="s">
        <v>206</v>
      </c>
      <c r="B22" s="58">
        <f>+B20*(1+B21)/(B7-B21)</f>
        <v>1976965.2296918521</v>
      </c>
      <c r="C22" t="str">
        <f>+Currency</f>
        <v>Rub '000'</v>
      </c>
    </row>
    <row r="23" spans="1:3" x14ac:dyDescent="0.3">
      <c r="A23" t="s">
        <v>205</v>
      </c>
      <c r="B23" s="58">
        <f>+B22*X8</f>
        <v>831549.51081527898</v>
      </c>
      <c r="C23" t="str">
        <f>+Currency</f>
        <v>Rub '000'</v>
      </c>
    </row>
    <row r="24" spans="1:3" x14ac:dyDescent="0.3">
      <c r="A24" t="s">
        <v>207</v>
      </c>
      <c r="B24" s="58">
        <f ca="1">+B23+B12</f>
        <v>819766.39422248502</v>
      </c>
      <c r="C24" t="str">
        <f>+Currency</f>
        <v>Rub '000'</v>
      </c>
    </row>
    <row r="25" spans="1:3" x14ac:dyDescent="0.3">
      <c r="B25" s="56"/>
    </row>
    <row r="26" spans="1:3" x14ac:dyDescent="0.3">
      <c r="A26" t="s">
        <v>208</v>
      </c>
      <c r="B26" s="56">
        <f ca="1">+Reports!X18</f>
        <v>76037.124218916913</v>
      </c>
      <c r="C26" t="str">
        <f>+Currency</f>
        <v>Rub '000'</v>
      </c>
    </row>
    <row r="27" spans="1:3" x14ac:dyDescent="0.3">
      <c r="A27" t="s">
        <v>209</v>
      </c>
      <c r="B27" s="56">
        <f ca="1">+B26*(12/Macro!X5)</f>
        <v>304148.49687566765</v>
      </c>
      <c r="C27" t="str">
        <f>+Currency</f>
        <v>Rub '000'</v>
      </c>
    </row>
    <row r="28" spans="1:3" x14ac:dyDescent="0.3">
      <c r="A28" t="s">
        <v>210</v>
      </c>
      <c r="B28" s="62">
        <v>8</v>
      </c>
      <c r="C28" t="s">
        <v>17</v>
      </c>
    </row>
    <row r="29" spans="1:3" x14ac:dyDescent="0.3">
      <c r="A29" t="s">
        <v>206</v>
      </c>
      <c r="B29" s="56">
        <f ca="1">+B27*B28</f>
        <v>2433187.9750053412</v>
      </c>
      <c r="C29" t="str">
        <f>+Currency</f>
        <v>Rub '000'</v>
      </c>
    </row>
    <row r="30" spans="1:3" x14ac:dyDescent="0.3">
      <c r="A30" t="s">
        <v>205</v>
      </c>
      <c r="B30" s="56">
        <f ca="1">+B29*X8</f>
        <v>1023445.5517726446</v>
      </c>
      <c r="C30" t="str">
        <f>+Currency</f>
        <v>Rub '000'</v>
      </c>
    </row>
    <row r="31" spans="1:3" x14ac:dyDescent="0.3">
      <c r="A31" t="s">
        <v>211</v>
      </c>
      <c r="B31" s="56">
        <f ca="1">+B12+B30</f>
        <v>1011662.4351798507</v>
      </c>
      <c r="C31" t="str">
        <f>+Currency</f>
        <v>Rub '000'</v>
      </c>
    </row>
    <row r="32" spans="1:3" x14ac:dyDescent="0.3">
      <c r="B32" s="56"/>
    </row>
    <row r="33" spans="1:24" x14ac:dyDescent="0.3">
      <c r="B33" s="56"/>
    </row>
    <row r="34" spans="1:24" ht="24.6" customHeight="1" thickBot="1" x14ac:dyDescent="0.35">
      <c r="A34" s="6" t="s">
        <v>173</v>
      </c>
      <c r="B34" s="6"/>
      <c r="C34" s="6"/>
      <c r="D34" s="6"/>
      <c r="E34" s="7" t="str">
        <f t="shared" ref="E34:X34" si="4">+E$2</f>
        <v>1Q 2024</v>
      </c>
      <c r="F34" s="7" t="str">
        <f t="shared" si="4"/>
        <v>2Q 2024</v>
      </c>
      <c r="G34" s="7" t="str">
        <f t="shared" si="4"/>
        <v>3Q 2024</v>
      </c>
      <c r="H34" s="7" t="str">
        <f t="shared" si="4"/>
        <v>4Q 2024</v>
      </c>
      <c r="I34" s="7" t="str">
        <f>+I$2</f>
        <v>1Q 2025</v>
      </c>
      <c r="J34" s="7" t="str">
        <f t="shared" si="4"/>
        <v>2Q 2025</v>
      </c>
      <c r="K34" s="7" t="str">
        <f t="shared" si="4"/>
        <v>3Q 2025</v>
      </c>
      <c r="L34" s="7" t="str">
        <f t="shared" si="4"/>
        <v>4Q 2025</v>
      </c>
      <c r="M34" s="7" t="str">
        <f t="shared" si="4"/>
        <v>1Q 2026</v>
      </c>
      <c r="N34" s="7" t="str">
        <f t="shared" si="4"/>
        <v>2Q 2026</v>
      </c>
      <c r="O34" s="7" t="str">
        <f t="shared" si="4"/>
        <v>3Q 2026</v>
      </c>
      <c r="P34" s="7" t="str">
        <f t="shared" si="4"/>
        <v>4Q 2026</v>
      </c>
      <c r="Q34" s="7" t="str">
        <f t="shared" si="4"/>
        <v>1Q 2027</v>
      </c>
      <c r="R34" s="7" t="str">
        <f t="shared" si="4"/>
        <v>2Q 2027</v>
      </c>
      <c r="S34" s="7" t="str">
        <f t="shared" si="4"/>
        <v>3Q 2027</v>
      </c>
      <c r="T34" s="7" t="str">
        <f t="shared" si="4"/>
        <v>4Q 2027</v>
      </c>
      <c r="U34" s="7" t="str">
        <f t="shared" si="4"/>
        <v>1Q 2028</v>
      </c>
      <c r="V34" s="7" t="str">
        <f t="shared" si="4"/>
        <v>2Q 2028</v>
      </c>
      <c r="W34" s="7" t="str">
        <f t="shared" si="4"/>
        <v>3Q 2028</v>
      </c>
      <c r="X34" s="7" t="str">
        <f t="shared" si="4"/>
        <v>4Q 2028</v>
      </c>
    </row>
    <row r="35" spans="1:24" ht="15" thickTop="1" x14ac:dyDescent="0.3">
      <c r="B35" s="1"/>
    </row>
    <row r="36" spans="1:24" x14ac:dyDescent="0.3">
      <c r="A36" t="s">
        <v>117</v>
      </c>
      <c r="C36" t="str">
        <f>+Currency</f>
        <v>Rub '000'</v>
      </c>
      <c r="E36" s="38">
        <f>+Reports!E11</f>
        <v>0</v>
      </c>
      <c r="F36" s="38">
        <f>+Reports!F11</f>
        <v>0</v>
      </c>
      <c r="G36" s="38">
        <f>+Reports!G11</f>
        <v>103240.34117543383</v>
      </c>
      <c r="H36" s="38">
        <f>+Reports!H11</f>
        <v>101464.64323130369</v>
      </c>
      <c r="I36" s="38">
        <f>+Reports!I11</f>
        <v>102669.24999999991</v>
      </c>
      <c r="J36" s="38">
        <f>+Reports!J11</f>
        <v>103884.26301804723</v>
      </c>
      <c r="K36" s="38">
        <f>+Reports!K11</f>
        <v>105109.78482245111</v>
      </c>
      <c r="L36" s="38">
        <f>+Reports!L11</f>
        <v>106345.91896055591</v>
      </c>
      <c r="M36" s="38">
        <f>+Reports!M11</f>
        <v>107592.76999999993</v>
      </c>
      <c r="N36" s="38">
        <f>+Reports!N11</f>
        <v>108850.44353876919</v>
      </c>
      <c r="O36" s="38">
        <f>+Reports!O11</f>
        <v>110119.04621534918</v>
      </c>
      <c r="P36" s="38">
        <f>+Reports!P11</f>
        <v>111398.68571897817</v>
      </c>
      <c r="Q36" s="38">
        <f>+Reports!Q11</f>
        <v>112689.47079999989</v>
      </c>
      <c r="R36" s="38">
        <f>+Reports!R11</f>
        <v>113991.51128031989</v>
      </c>
      <c r="S36" s="38">
        <f>+Reports!S11</f>
        <v>115304.91806396311</v>
      </c>
      <c r="T36" s="38">
        <f>+Reports!T11</f>
        <v>116629.80314773723</v>
      </c>
      <c r="U36" s="38">
        <f>+Reports!U11</f>
        <v>117966.27963199992</v>
      </c>
      <c r="V36" s="38">
        <f>+Reports!V11</f>
        <v>119314.46173153262</v>
      </c>
      <c r="W36" s="38">
        <f>+Reports!W11</f>
        <v>120674.4647865216</v>
      </c>
      <c r="X36" s="38">
        <f>+Reports!X11</f>
        <v>122046.40527364673</v>
      </c>
    </row>
    <row r="37" spans="1:24" x14ac:dyDescent="0.3">
      <c r="A37" t="s">
        <v>174</v>
      </c>
      <c r="C37" t="str">
        <f>+Currency</f>
        <v>Rub '000'</v>
      </c>
      <c r="E37" s="38">
        <f ca="1">+Reports!E59</f>
        <v>51282.05128205131</v>
      </c>
      <c r="F37" s="38">
        <f ca="1">+Reports!F59</f>
        <v>698750.8218277446</v>
      </c>
      <c r="G37" s="38">
        <f ca="1">+Reports!G59</f>
        <v>775936.90354803018</v>
      </c>
      <c r="H37" s="38">
        <f ca="1">+Reports!H59</f>
        <v>736042.13269510225</v>
      </c>
      <c r="I37" s="38">
        <f ca="1">+Reports!I59</f>
        <v>694650.44786201103</v>
      </c>
      <c r="J37" s="38">
        <f ca="1">+Reports!J59</f>
        <v>651723.96375389141</v>
      </c>
      <c r="K37" s="38">
        <f ca="1">+Reports!K59</f>
        <v>607223.92050548748</v>
      </c>
      <c r="L37" s="38">
        <f ca="1">+Reports!L59</f>
        <v>561110.66420277895</v>
      </c>
      <c r="M37" s="38">
        <f ca="1">+Reports!M59</f>
        <v>513343.62697736133</v>
      </c>
      <c r="N37" s="38">
        <f ca="1">+Reports!N59</f>
        <v>463881.30666426913</v>
      </c>
      <c r="O37" s="38">
        <f ca="1">+Reports!O59</f>
        <v>412681.24601373379</v>
      </c>
      <c r="P37" s="38">
        <f ca="1">+Reports!P59</f>
        <v>359700.01144715754</v>
      </c>
      <c r="Q37" s="38">
        <f ca="1">+Reports!Q59</f>
        <v>304893.17134737561</v>
      </c>
      <c r="R37" s="38">
        <f ca="1">+Reports!R59</f>
        <v>248215.27387306304</v>
      </c>
      <c r="S37" s="38">
        <f ca="1">+Reports!S59</f>
        <v>189619.82428692115</v>
      </c>
      <c r="T37" s="38">
        <f ca="1">+Reports!T59</f>
        <v>129059.26178705569</v>
      </c>
      <c r="U37" s="38">
        <f ca="1">+Reports!U59</f>
        <v>66484.935830726114</v>
      </c>
      <c r="V37" s="38">
        <f ca="1">+Reports!V59</f>
        <v>1847.0819394125574</v>
      </c>
      <c r="W37" s="38">
        <f ca="1">+Reports!W59</f>
        <v>6.1118043959140778E-10</v>
      </c>
      <c r="X37" s="38">
        <f ca="1">+Reports!X59</f>
        <v>8.7165972217917442E-8</v>
      </c>
    </row>
    <row r="38" spans="1:24" x14ac:dyDescent="0.3">
      <c r="A38" t="s">
        <v>175</v>
      </c>
      <c r="C38" t="s">
        <v>176</v>
      </c>
      <c r="E38" s="51" t="str">
        <f ca="1">+IFERROR(E37/E36,"-")</f>
        <v>-</v>
      </c>
      <c r="F38" s="51" t="str">
        <f t="shared" ref="F38:V38" ca="1" si="5">+IFERROR(F37/F36,"-")</f>
        <v>-</v>
      </c>
      <c r="G38" s="52">
        <f t="shared" ca="1" si="5"/>
        <v>7.5158304855802367</v>
      </c>
      <c r="H38" s="52">
        <f t="shared" ca="1" si="5"/>
        <v>7.2541735648464769</v>
      </c>
      <c r="I38" s="52">
        <f t="shared" ca="1" si="5"/>
        <v>6.7659055448638385</v>
      </c>
      <c r="J38" s="52">
        <f t="shared" ca="1" si="5"/>
        <v>6.2735581388363997</v>
      </c>
      <c r="K38" s="52">
        <f t="shared" ca="1" si="5"/>
        <v>5.7770446541318234</v>
      </c>
      <c r="L38" s="52">
        <f t="shared" ca="1" si="5"/>
        <v>5.2762782971568187</v>
      </c>
      <c r="M38" s="52">
        <f t="shared" ca="1" si="5"/>
        <v>4.7711721426761446</v>
      </c>
      <c r="N38" s="52">
        <f t="shared" ca="1" si="5"/>
        <v>4.2616391039238053</v>
      </c>
      <c r="O38" s="52">
        <f t="shared" ca="1" si="5"/>
        <v>3.7475919034632112</v>
      </c>
      <c r="P38" s="52">
        <f t="shared" ca="1" si="5"/>
        <v>3.2289430447551331</v>
      </c>
      <c r="Q38" s="52">
        <f t="shared" ca="1" si="5"/>
        <v>2.7056047843946027</v>
      </c>
      <c r="R38" s="52">
        <f t="shared" ca="1" si="5"/>
        <v>2.1774891049796641</v>
      </c>
      <c r="S38" s="52">
        <f t="shared" ca="1" si="5"/>
        <v>1.6445076885769376</v>
      </c>
      <c r="T38" s="52">
        <f t="shared" ca="1" si="5"/>
        <v>1.1065718907505471</v>
      </c>
      <c r="U38" s="52">
        <f t="shared" ca="1" si="5"/>
        <v>0.56359271512273068</v>
      </c>
      <c r="V38" s="52">
        <f t="shared" ca="1" si="5"/>
        <v>1.5480788435928615E-2</v>
      </c>
      <c r="W38" s="52">
        <f ca="1">+IFERROR(W37/W36,"-")</f>
        <v>5.0647039593058289E-15</v>
      </c>
      <c r="X38" s="52">
        <f t="shared" ref="X38" ca="1" si="6">+IFERROR(X37/X36,"-")</f>
        <v>7.1420351973888941E-13</v>
      </c>
    </row>
    <row r="40" spans="1:24" x14ac:dyDescent="0.3">
      <c r="A40" t="s">
        <v>177</v>
      </c>
      <c r="C40" t="str">
        <f>+Currency</f>
        <v>Rub '000'</v>
      </c>
      <c r="E40" s="38">
        <f ca="1">+Reports!E26-Reports!E15+Reports!E29</f>
        <v>-450000</v>
      </c>
      <c r="F40" s="38">
        <f ca="1">+Reports!F26-Reports!F15+Reports!F29</f>
        <v>-630000</v>
      </c>
      <c r="G40" s="38">
        <f ca="1">+Reports!G26-Reports!G15+Reports!G29</f>
        <v>-57787.659131584784</v>
      </c>
      <c r="H40" s="38">
        <f ca="1">+Reports!H26-Reports!H15+Reports!H29</f>
        <v>88939.790162443067</v>
      </c>
      <c r="I40" s="38">
        <f ca="1">+Reports!I26-Reports!I15+Reports!I29</f>
        <v>89689.107225703192</v>
      </c>
      <c r="J40" s="38">
        <f ca="1">+Reports!J26-Reports!J15+Reports!J29</f>
        <v>90439.117957004768</v>
      </c>
      <c r="K40" s="38">
        <f ca="1">+Reports!K26-Reports!K15+Reports!K29</f>
        <v>91189.713513376861</v>
      </c>
      <c r="L40" s="38">
        <f ca="1">+Reports!L26-Reports!L15+Reports!L29</f>
        <v>91940.781473018549</v>
      </c>
      <c r="M40" s="38">
        <f ca="1">+Reports!M26-Reports!M15+Reports!M29</f>
        <v>92692.205745730666</v>
      </c>
      <c r="N40" s="38">
        <f ca="1">+Reports!N26-Reports!N15+Reports!N29</f>
        <v>93443.866481289384</v>
      </c>
      <c r="O40" s="38">
        <f ca="1">+Reports!O26-Reports!O15+Reports!O29</f>
        <v>94195.6399757131</v>
      </c>
      <c r="P40" s="38">
        <f ca="1">+Reports!P26-Reports!P15+Reports!P29</f>
        <v>94947.398575379368</v>
      </c>
      <c r="Q40" s="38">
        <f ca="1">+Reports!Q26-Reports!Q15+Reports!Q29</f>
        <v>95699.010578941277</v>
      </c>
      <c r="R40" s="38">
        <f ca="1">+Reports!R26-Reports!R15+Reports!R29</f>
        <v>96450.340136995466</v>
      </c>
      <c r="S40" s="38">
        <f ca="1">+Reports!S26-Reports!S15+Reports!S29</f>
        <v>97201.247149452684</v>
      </c>
      <c r="T40" s="38">
        <f ca="1">+Reports!T26-Reports!T15+Reports!T29</f>
        <v>97951.587160557741</v>
      </c>
      <c r="U40" s="38">
        <f ca="1">+Reports!U26-Reports!U15+Reports!U29</f>
        <v>98701.211251508939</v>
      </c>
      <c r="V40" s="38">
        <f ca="1">+Reports!V26-Reports!V15+Reports!V29</f>
        <v>99449.96593062258</v>
      </c>
      <c r="W40" s="38">
        <f ca="1">+Reports!W26-Reports!W15+Reports!W29</f>
        <v>100197.69302098794</v>
      </c>
      <c r="X40" s="38">
        <f ca="1">+Reports!X26-Reports!X15+Reports!X29</f>
        <v>101268.75556068766</v>
      </c>
    </row>
    <row r="41" spans="1:24" x14ac:dyDescent="0.3">
      <c r="A41" t="s">
        <v>178</v>
      </c>
      <c r="C41" t="str">
        <f>+Currency</f>
        <v>Rub '000'</v>
      </c>
      <c r="E41" s="38">
        <f ca="1">+-Reports!E15-Reports!E33</f>
        <v>1282.0512820512829</v>
      </c>
      <c r="F41" s="38">
        <f ca="1">+-Reports!F15-Reports!F33</f>
        <v>17468.770545693616</v>
      </c>
      <c r="G41" s="38">
        <f ca="1">+-Reports!G15-Reports!G33</f>
        <v>19398.422588700756</v>
      </c>
      <c r="H41" s="38">
        <f ca="1">+-Reports!H15-Reports!H33</f>
        <v>59293.193441628711</v>
      </c>
      <c r="I41" s="38">
        <f ca="1">+-Reports!I15-Reports!I33</f>
        <v>59792.738150468795</v>
      </c>
      <c r="J41" s="38">
        <f ca="1">+-Reports!J15-Reports!J33</f>
        <v>60292.745304669836</v>
      </c>
      <c r="K41" s="38">
        <f ca="1">+-Reports!K15-Reports!K33</f>
        <v>60793.142342251231</v>
      </c>
      <c r="L41" s="38">
        <f ca="1">+-Reports!L15-Reports!L33</f>
        <v>61293.854315345699</v>
      </c>
      <c r="M41" s="38">
        <f ca="1">+-Reports!M15-Reports!M33</f>
        <v>61794.803830487108</v>
      </c>
      <c r="N41" s="38">
        <f ca="1">+-Reports!N15-Reports!N33</f>
        <v>62295.910987526258</v>
      </c>
      <c r="O41" s="38">
        <f ca="1">+-Reports!O15-Reports!O33</f>
        <v>62797.093317142069</v>
      </c>
      <c r="P41" s="38">
        <f ca="1">+-Reports!P15-Reports!P33</f>
        <v>63298.265716919581</v>
      </c>
      <c r="Q41" s="38">
        <f ca="1">+-Reports!Q15-Reports!Q33</f>
        <v>63799.340385960852</v>
      </c>
      <c r="R41" s="38">
        <f ca="1">+-Reports!R15-Reports!R33</f>
        <v>64300.226757996978</v>
      </c>
      <c r="S41" s="38">
        <f ca="1">+-Reports!S15-Reports!S33</f>
        <v>64800.831432968458</v>
      </c>
      <c r="T41" s="38">
        <f ca="1">+-Reports!T15-Reports!T33</f>
        <v>65301.058107038494</v>
      </c>
      <c r="U41" s="38">
        <f ca="1">+-Reports!U15-Reports!U33</f>
        <v>65800.807501005955</v>
      </c>
      <c r="V41" s="38">
        <f ca="1">+-Reports!V15-Reports!V33</f>
        <v>66299.977287081711</v>
      </c>
      <c r="W41" s="38">
        <f ca="1">+-Reports!W15-Reports!W33</f>
        <v>1893.2589878972826</v>
      </c>
      <c r="X41" s="38">
        <f ca="1">+-Reports!X15-Reports!X33</f>
        <v>-8.5361170931719249E-8</v>
      </c>
    </row>
    <row r="42" spans="1:24" x14ac:dyDescent="0.3">
      <c r="A42" t="s">
        <v>179</v>
      </c>
      <c r="C42" t="s">
        <v>17</v>
      </c>
      <c r="E42" s="51" t="str">
        <f ca="1">+IF(AND(E40&gt;0,E41&gt;0),E40/E41,"-")</f>
        <v>-</v>
      </c>
      <c r="F42" s="51" t="str">
        <f t="shared" ref="F42:X42" ca="1" si="7">+IF(AND(F40&gt;0,F41&gt;0),F40/F41,"-")</f>
        <v>-</v>
      </c>
      <c r="G42" s="51" t="str">
        <f t="shared" ca="1" si="7"/>
        <v>-</v>
      </c>
      <c r="H42" s="52">
        <f t="shared" ca="1" si="7"/>
        <v>1.5</v>
      </c>
      <c r="I42" s="52">
        <f t="shared" ca="1" si="7"/>
        <v>1.5</v>
      </c>
      <c r="J42" s="52">
        <f t="shared" ca="1" si="7"/>
        <v>1.5000000000000002</v>
      </c>
      <c r="K42" s="52">
        <f t="shared" ca="1" si="7"/>
        <v>1.5000000000000002</v>
      </c>
      <c r="L42" s="52">
        <f t="shared" ca="1" si="7"/>
        <v>1.5</v>
      </c>
      <c r="M42" s="52">
        <f t="shared" ca="1" si="7"/>
        <v>1.5</v>
      </c>
      <c r="N42" s="52">
        <f t="shared" ca="1" si="7"/>
        <v>1.5</v>
      </c>
      <c r="O42" s="52">
        <f t="shared" ca="1" si="7"/>
        <v>1.5</v>
      </c>
      <c r="P42" s="52">
        <f t="shared" ca="1" si="7"/>
        <v>1.5</v>
      </c>
      <c r="Q42" s="52">
        <f t="shared" ca="1" si="7"/>
        <v>1.5</v>
      </c>
      <c r="R42" s="52">
        <f t="shared" ca="1" si="7"/>
        <v>1.5</v>
      </c>
      <c r="S42" s="52">
        <f t="shared" ca="1" si="7"/>
        <v>1.5</v>
      </c>
      <c r="T42" s="52">
        <f t="shared" ca="1" si="7"/>
        <v>1.5</v>
      </c>
      <c r="U42" s="52">
        <f t="shared" ca="1" si="7"/>
        <v>1.5</v>
      </c>
      <c r="V42" s="52">
        <f t="shared" ca="1" si="7"/>
        <v>1.5000000000000002</v>
      </c>
      <c r="W42" s="52">
        <f t="shared" ca="1" si="7"/>
        <v>52.923394877037332</v>
      </c>
      <c r="X42" s="51" t="str">
        <f t="shared" ca="1" si="7"/>
        <v>-</v>
      </c>
    </row>
    <row r="43" spans="1:24" x14ac:dyDescent="0.3">
      <c r="A43" t="s">
        <v>180</v>
      </c>
      <c r="B43" s="13">
        <v>1.5</v>
      </c>
      <c r="C43" t="s">
        <v>17</v>
      </c>
    </row>
    <row r="45" spans="1:24" x14ac:dyDescent="0.3">
      <c r="A45" t="s">
        <v>182</v>
      </c>
      <c r="B45" s="38">
        <f>+SUM(E45:X45)</f>
        <v>400000</v>
      </c>
      <c r="C45" t="str">
        <f>+Currency</f>
        <v>Rub '000'</v>
      </c>
      <c r="E45" s="38">
        <f>+Assumptions!E176</f>
        <v>400000</v>
      </c>
      <c r="F45" s="38">
        <f>+Assumptions!F176</f>
        <v>0</v>
      </c>
      <c r="G45" s="38">
        <f>+Assumptions!G176</f>
        <v>0</v>
      </c>
      <c r="H45" s="38">
        <f>+Assumptions!H176</f>
        <v>0</v>
      </c>
      <c r="I45" s="38">
        <f>+Assumptions!I176</f>
        <v>0</v>
      </c>
      <c r="J45" s="38">
        <f>+Assumptions!J176</f>
        <v>0</v>
      </c>
      <c r="K45" s="38">
        <f>+Assumptions!K176</f>
        <v>0</v>
      </c>
      <c r="L45" s="38">
        <f>+Assumptions!L176</f>
        <v>0</v>
      </c>
      <c r="M45" s="38">
        <f>+Assumptions!M176</f>
        <v>0</v>
      </c>
      <c r="N45" s="38">
        <f>+Assumptions!N176</f>
        <v>0</v>
      </c>
      <c r="O45" s="38">
        <f>+Assumptions!O176</f>
        <v>0</v>
      </c>
      <c r="P45" s="38">
        <f>+Assumptions!P176</f>
        <v>0</v>
      </c>
      <c r="Q45" s="38">
        <f>+Assumptions!Q176</f>
        <v>0</v>
      </c>
      <c r="R45" s="38">
        <f>+Assumptions!R176</f>
        <v>0</v>
      </c>
      <c r="S45" s="38">
        <f>+Assumptions!S176</f>
        <v>0</v>
      </c>
      <c r="T45" s="38">
        <f>+Assumptions!T176</f>
        <v>0</v>
      </c>
      <c r="U45" s="38">
        <f>+Assumptions!U176</f>
        <v>0</v>
      </c>
      <c r="V45" s="38">
        <f>+Assumptions!V176</f>
        <v>0</v>
      </c>
      <c r="W45" s="38">
        <f>+Assumptions!W176</f>
        <v>0</v>
      </c>
      <c r="X45" s="38">
        <f>+Assumptions!X176</f>
        <v>0</v>
      </c>
    </row>
    <row r="46" spans="1:24" x14ac:dyDescent="0.3">
      <c r="A46" t="s">
        <v>183</v>
      </c>
      <c r="B46" s="38">
        <f ca="1">+SUM(E46:X46)</f>
        <v>775936.90354803018</v>
      </c>
      <c r="C46" t="str">
        <f>+Currency</f>
        <v>Rub '000'</v>
      </c>
      <c r="E46" s="38">
        <f ca="1">+Assumptions!E186</f>
        <v>51282.05128205131</v>
      </c>
      <c r="F46" s="38">
        <f ca="1">+Assumptions!F186</f>
        <v>647468.77054569335</v>
      </c>
      <c r="G46" s="38">
        <f ca="1">+Assumptions!G186</f>
        <v>77186.081720285525</v>
      </c>
      <c r="H46" s="38">
        <f>+Assumptions!H186</f>
        <v>0</v>
      </c>
      <c r="I46" s="38">
        <f>+Assumptions!I186</f>
        <v>0</v>
      </c>
      <c r="J46" s="38">
        <f>+Assumptions!J186</f>
        <v>0</v>
      </c>
      <c r="K46" s="38">
        <f>+Assumptions!K186</f>
        <v>0</v>
      </c>
      <c r="L46" s="38">
        <f>+Assumptions!L186</f>
        <v>0</v>
      </c>
      <c r="M46" s="38">
        <f>+Assumptions!M186</f>
        <v>0</v>
      </c>
      <c r="N46" s="38">
        <f>+Assumptions!N186</f>
        <v>0</v>
      </c>
      <c r="O46" s="38">
        <f>+Assumptions!O186</f>
        <v>0</v>
      </c>
      <c r="P46" s="38">
        <f>+Assumptions!P186</f>
        <v>0</v>
      </c>
      <c r="Q46" s="38">
        <f>+Assumptions!Q186</f>
        <v>0</v>
      </c>
      <c r="R46" s="38">
        <f>+Assumptions!R186</f>
        <v>0</v>
      </c>
      <c r="S46" s="38">
        <f>+Assumptions!S186</f>
        <v>0</v>
      </c>
      <c r="T46" s="38">
        <f>+Assumptions!T186</f>
        <v>0</v>
      </c>
      <c r="U46" s="38">
        <f>+Assumptions!U186</f>
        <v>0</v>
      </c>
      <c r="V46" s="38">
        <f>+Assumptions!V186</f>
        <v>0</v>
      </c>
      <c r="W46" s="38">
        <f>+Assumptions!W186</f>
        <v>0</v>
      </c>
      <c r="X46" s="38">
        <f>+Assumptions!X186</f>
        <v>0</v>
      </c>
    </row>
    <row r="47" spans="1:24" x14ac:dyDescent="0.3">
      <c r="A47" t="s">
        <v>184</v>
      </c>
      <c r="B47" s="42">
        <f ca="1">+B45/(B45+B46)</f>
        <v>0.34015430487224463</v>
      </c>
      <c r="C47" s="11" t="s">
        <v>14</v>
      </c>
    </row>
  </sheetData>
  <mergeCells count="1">
    <mergeCell ref="A1:A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0E0C-F87A-413F-8E87-6FB072A06767}">
  <dimension ref="A1:A20"/>
  <sheetViews>
    <sheetView workbookViewId="0">
      <selection activeCell="A21" sqref="A21"/>
    </sheetView>
  </sheetViews>
  <sheetFormatPr defaultRowHeight="14.4" x14ac:dyDescent="0.3"/>
  <sheetData>
    <row r="1" spans="1:1" x14ac:dyDescent="0.3">
      <c r="A1" t="s">
        <v>197</v>
      </c>
    </row>
    <row r="20" spans="1:1" x14ac:dyDescent="0.3">
      <c r="A20" t="s">
        <v>198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B1EA-1275-4B84-8ED1-FD3B64E36192}">
  <dimension ref="A1:X38"/>
  <sheetViews>
    <sheetView zoomScale="70" zoomScaleNormal="70" workbookViewId="0">
      <pane xSplit="4" ySplit="2" topLeftCell="E3" activePane="bottomRight" state="frozen"/>
      <selection activeCell="B5" sqref="B5"/>
      <selection pane="topRight" activeCell="B5" sqref="B5"/>
      <selection pane="bottomLeft" activeCell="B5" sqref="B5"/>
      <selection pane="bottomRight" activeCell="Q33" sqref="Q33"/>
    </sheetView>
  </sheetViews>
  <sheetFormatPr defaultRowHeight="14.4" x14ac:dyDescent="0.3"/>
  <cols>
    <col min="1" max="1" width="35.77734375" customWidth="1"/>
    <col min="2" max="2" width="13.109375" bestFit="1" customWidth="1"/>
    <col min="3" max="3" width="10.77734375" customWidth="1"/>
    <col min="4" max="4" width="1.5546875" customWidth="1"/>
    <col min="5" max="5" width="11.33203125" bestFit="1" customWidth="1"/>
    <col min="6" max="6" width="10.6640625" bestFit="1" customWidth="1"/>
    <col min="7" max="12" width="12.6640625" bestFit="1" customWidth="1"/>
    <col min="13" max="13" width="10.77734375" customWidth="1"/>
    <col min="14" max="24" width="12.6640625" bestFit="1" customWidth="1"/>
  </cols>
  <sheetData>
    <row r="1" spans="1:24" x14ac:dyDescent="0.3">
      <c r="A1" s="70" t="s">
        <v>212</v>
      </c>
      <c r="E1" s="4">
        <f>+Macro!E1</f>
        <v>1</v>
      </c>
      <c r="F1" s="4">
        <f>+Macro!F1</f>
        <v>2</v>
      </c>
      <c r="G1" s="4">
        <f>+Macro!G1</f>
        <v>3</v>
      </c>
      <c r="H1" s="4">
        <f>+Macro!H1</f>
        <v>4</v>
      </c>
      <c r="I1" s="4">
        <f>+Macro!I1</f>
        <v>5</v>
      </c>
      <c r="J1" s="4">
        <f>+Macro!J1</f>
        <v>6</v>
      </c>
      <c r="K1" s="4">
        <f>+Macro!K1</f>
        <v>7</v>
      </c>
      <c r="L1" s="4">
        <f>+Macro!L1</f>
        <v>8</v>
      </c>
      <c r="M1" s="4">
        <f>+Macro!M1</f>
        <v>9</v>
      </c>
      <c r="N1" s="4">
        <f>+Macro!N1</f>
        <v>10</v>
      </c>
      <c r="O1" s="4">
        <f>+Macro!O1</f>
        <v>11</v>
      </c>
      <c r="P1" s="4">
        <f>+Macro!P1</f>
        <v>12</v>
      </c>
      <c r="Q1" s="4">
        <f>+Macro!Q1</f>
        <v>13</v>
      </c>
      <c r="R1" s="4">
        <f>+Macro!R1</f>
        <v>14</v>
      </c>
      <c r="S1" s="4">
        <f>+Macro!S1</f>
        <v>15</v>
      </c>
      <c r="T1" s="4">
        <f>+Macro!T1</f>
        <v>16</v>
      </c>
      <c r="U1" s="4">
        <f>+Macro!U1</f>
        <v>17</v>
      </c>
      <c r="V1" s="4">
        <f>+Macro!V1</f>
        <v>18</v>
      </c>
      <c r="W1" s="4">
        <f>+Macro!W1</f>
        <v>19</v>
      </c>
      <c r="X1" s="4">
        <f>+Macro!X1</f>
        <v>20</v>
      </c>
    </row>
    <row r="2" spans="1:24" x14ac:dyDescent="0.3">
      <c r="A2" s="70"/>
      <c r="E2" s="8" t="str">
        <f>+Macro!E2</f>
        <v>1Q 2024</v>
      </c>
      <c r="F2" s="8" t="str">
        <f>+Macro!F2</f>
        <v>2Q 2024</v>
      </c>
      <c r="G2" s="8" t="str">
        <f>+Macro!G2</f>
        <v>3Q 2024</v>
      </c>
      <c r="H2" s="8" t="str">
        <f>+Macro!H2</f>
        <v>4Q 2024</v>
      </c>
      <c r="I2" s="8" t="str">
        <f>+Macro!I2</f>
        <v>1Q 2025</v>
      </c>
      <c r="J2" s="8" t="str">
        <f>+Macro!J2</f>
        <v>2Q 2025</v>
      </c>
      <c r="K2" s="8" t="str">
        <f>+Macro!K2</f>
        <v>3Q 2025</v>
      </c>
      <c r="L2" s="8" t="str">
        <f>+Macro!L2</f>
        <v>4Q 2025</v>
      </c>
      <c r="M2" s="8" t="str">
        <f>+Macro!M2</f>
        <v>1Q 2026</v>
      </c>
      <c r="N2" s="8" t="str">
        <f>+Macro!N2</f>
        <v>2Q 2026</v>
      </c>
      <c r="O2" s="8" t="str">
        <f>+Macro!O2</f>
        <v>3Q 2026</v>
      </c>
      <c r="P2" s="8" t="str">
        <f>+Macro!P2</f>
        <v>4Q 2026</v>
      </c>
      <c r="Q2" s="8" t="str">
        <f>+Macro!Q2</f>
        <v>1Q 2027</v>
      </c>
      <c r="R2" s="8" t="str">
        <f>+Macro!R2</f>
        <v>2Q 2027</v>
      </c>
      <c r="S2" s="8" t="str">
        <f>+Macro!S2</f>
        <v>3Q 2027</v>
      </c>
      <c r="T2" s="8" t="str">
        <f>+Macro!T2</f>
        <v>4Q 2027</v>
      </c>
      <c r="U2" s="8" t="str">
        <f>+Macro!U2</f>
        <v>1Q 2028</v>
      </c>
      <c r="V2" s="8" t="str">
        <f>+Macro!V2</f>
        <v>2Q 2028</v>
      </c>
      <c r="W2" s="8" t="str">
        <f>+Macro!W2</f>
        <v>3Q 2028</v>
      </c>
      <c r="X2" s="8" t="str">
        <f>+Macro!X2</f>
        <v>4Q 2028</v>
      </c>
    </row>
    <row r="4" spans="1:24" x14ac:dyDescent="0.3">
      <c r="A4" t="s">
        <v>219</v>
      </c>
      <c r="B4" s="11">
        <f>+Summary!B4</f>
        <v>1</v>
      </c>
    </row>
    <row r="6" spans="1:24" ht="24.6" customHeight="1" thickBot="1" x14ac:dyDescent="0.35">
      <c r="A6" s="6" t="s">
        <v>220</v>
      </c>
      <c r="B6" s="6"/>
      <c r="C6" s="6"/>
      <c r="D6" s="6"/>
      <c r="E6" s="7" t="str">
        <f t="shared" ref="E6:X6" si="0">+E$2</f>
        <v>1Q 2024</v>
      </c>
      <c r="F6" s="7" t="str">
        <f t="shared" si="0"/>
        <v>2Q 2024</v>
      </c>
      <c r="G6" s="7" t="str">
        <f t="shared" si="0"/>
        <v>3Q 2024</v>
      </c>
      <c r="H6" s="7" t="str">
        <f t="shared" si="0"/>
        <v>4Q 2024</v>
      </c>
      <c r="I6" s="7" t="str">
        <f>+I$2</f>
        <v>1Q 2025</v>
      </c>
      <c r="J6" s="7" t="str">
        <f t="shared" si="0"/>
        <v>2Q 2025</v>
      </c>
      <c r="K6" s="7" t="str">
        <f t="shared" si="0"/>
        <v>3Q 2025</v>
      </c>
      <c r="L6" s="7" t="str">
        <f t="shared" si="0"/>
        <v>4Q 2025</v>
      </c>
      <c r="M6" s="7" t="str">
        <f t="shared" si="0"/>
        <v>1Q 2026</v>
      </c>
      <c r="N6" s="7" t="str">
        <f t="shared" si="0"/>
        <v>2Q 2026</v>
      </c>
      <c r="O6" s="7" t="str">
        <f t="shared" si="0"/>
        <v>3Q 2026</v>
      </c>
      <c r="P6" s="7" t="str">
        <f t="shared" si="0"/>
        <v>4Q 2026</v>
      </c>
      <c r="Q6" s="7" t="str">
        <f t="shared" si="0"/>
        <v>1Q 2027</v>
      </c>
      <c r="R6" s="7" t="str">
        <f t="shared" si="0"/>
        <v>2Q 2027</v>
      </c>
      <c r="S6" s="7" t="str">
        <f t="shared" si="0"/>
        <v>3Q 2027</v>
      </c>
      <c r="T6" s="7" t="str">
        <f t="shared" si="0"/>
        <v>4Q 2027</v>
      </c>
      <c r="U6" s="7" t="str">
        <f t="shared" si="0"/>
        <v>1Q 2028</v>
      </c>
      <c r="V6" s="7" t="str">
        <f t="shared" si="0"/>
        <v>2Q 2028</v>
      </c>
      <c r="W6" s="7" t="str">
        <f t="shared" si="0"/>
        <v>3Q 2028</v>
      </c>
      <c r="X6" s="7" t="str">
        <f t="shared" si="0"/>
        <v>4Q 2028</v>
      </c>
    </row>
    <row r="7" spans="1:24" ht="15" thickTop="1" x14ac:dyDescent="0.3"/>
    <row r="8" spans="1:24" x14ac:dyDescent="0.3">
      <c r="A8" t="str">
        <f>+CHOOSE($B$4,A15,A19,A23)</f>
        <v xml:space="preserve">Base case </v>
      </c>
    </row>
    <row r="9" spans="1:24" x14ac:dyDescent="0.3">
      <c r="A9" t="str">
        <f>+CHOOSE($B$4,A16,A20,A24)</f>
        <v>Carmel candies: capacity / utilization</v>
      </c>
      <c r="B9" s="63">
        <f t="shared" ref="B9:C9" si="1">+CHOOSE($B$4,B16,B20,B24)</f>
        <v>2000</v>
      </c>
      <c r="C9" t="str">
        <f t="shared" si="1"/>
        <v>tons</v>
      </c>
      <c r="E9" s="14">
        <f>+CHOOSE($B$4,E16,E20,E24)</f>
        <v>0</v>
      </c>
      <c r="F9" s="14">
        <f t="shared" ref="F9:X9" si="2">+CHOOSE($B$4,F16,F20,F24)</f>
        <v>0</v>
      </c>
      <c r="G9" s="14">
        <f t="shared" si="2"/>
        <v>1</v>
      </c>
      <c r="H9" s="14">
        <f t="shared" si="2"/>
        <v>1</v>
      </c>
      <c r="I9" s="14">
        <f t="shared" si="2"/>
        <v>1</v>
      </c>
      <c r="J9" s="14">
        <f t="shared" si="2"/>
        <v>1</v>
      </c>
      <c r="K9" s="14">
        <f t="shared" si="2"/>
        <v>1</v>
      </c>
      <c r="L9" s="14">
        <f t="shared" si="2"/>
        <v>1</v>
      </c>
      <c r="M9" s="14">
        <f t="shared" si="2"/>
        <v>1</v>
      </c>
      <c r="N9" s="14">
        <f t="shared" si="2"/>
        <v>1</v>
      </c>
      <c r="O9" s="14">
        <f t="shared" si="2"/>
        <v>1</v>
      </c>
      <c r="P9" s="14">
        <f t="shared" si="2"/>
        <v>1</v>
      </c>
      <c r="Q9" s="14">
        <f t="shared" si="2"/>
        <v>1</v>
      </c>
      <c r="R9" s="14">
        <f t="shared" si="2"/>
        <v>1</v>
      </c>
      <c r="S9" s="14">
        <f t="shared" si="2"/>
        <v>1</v>
      </c>
      <c r="T9" s="14">
        <f t="shared" si="2"/>
        <v>1</v>
      </c>
      <c r="U9" s="14">
        <f t="shared" si="2"/>
        <v>1</v>
      </c>
      <c r="V9" s="14">
        <f t="shared" si="2"/>
        <v>1</v>
      </c>
      <c r="W9" s="14">
        <f t="shared" si="2"/>
        <v>1</v>
      </c>
      <c r="X9" s="14">
        <f t="shared" si="2"/>
        <v>1</v>
      </c>
    </row>
    <row r="10" spans="1:24" x14ac:dyDescent="0.3">
      <c r="A10" t="str">
        <f>+CHOOSE($B$4,A17,A21,A25)</f>
        <v>Nougat: capacity / utilization</v>
      </c>
      <c r="B10" s="63">
        <f t="shared" ref="B10:C10" si="3">+CHOOSE($B$4,B17,B21,B25)</f>
        <v>1200</v>
      </c>
      <c r="C10" t="str">
        <f t="shared" si="3"/>
        <v>tons</v>
      </c>
      <c r="E10" s="14">
        <f>+CHOOSE($B$4,E17,E21,E25)</f>
        <v>0</v>
      </c>
      <c r="F10" s="14">
        <f t="shared" ref="F10:X10" si="4">+CHOOSE($B$4,F17,F21,F25)</f>
        <v>0</v>
      </c>
      <c r="G10" s="14">
        <f t="shared" si="4"/>
        <v>1</v>
      </c>
      <c r="H10" s="14">
        <f t="shared" si="4"/>
        <v>1</v>
      </c>
      <c r="I10" s="14">
        <f t="shared" si="4"/>
        <v>1</v>
      </c>
      <c r="J10" s="14">
        <f t="shared" si="4"/>
        <v>1</v>
      </c>
      <c r="K10" s="14">
        <f t="shared" si="4"/>
        <v>1</v>
      </c>
      <c r="L10" s="14">
        <f t="shared" si="4"/>
        <v>1</v>
      </c>
      <c r="M10" s="14">
        <f t="shared" si="4"/>
        <v>1</v>
      </c>
      <c r="N10" s="14">
        <f t="shared" si="4"/>
        <v>1</v>
      </c>
      <c r="O10" s="14">
        <f t="shared" si="4"/>
        <v>1</v>
      </c>
      <c r="P10" s="14">
        <f t="shared" si="4"/>
        <v>1</v>
      </c>
      <c r="Q10" s="14">
        <f t="shared" si="4"/>
        <v>1</v>
      </c>
      <c r="R10" s="14">
        <f t="shared" si="4"/>
        <v>1</v>
      </c>
      <c r="S10" s="14">
        <f t="shared" si="4"/>
        <v>1</v>
      </c>
      <c r="T10" s="14">
        <f t="shared" si="4"/>
        <v>1</v>
      </c>
      <c r="U10" s="14">
        <f t="shared" si="4"/>
        <v>1</v>
      </c>
      <c r="V10" s="14">
        <f t="shared" si="4"/>
        <v>1</v>
      </c>
      <c r="W10" s="14">
        <f t="shared" si="4"/>
        <v>1</v>
      </c>
      <c r="X10" s="14">
        <f t="shared" si="4"/>
        <v>1</v>
      </c>
    </row>
    <row r="13" spans="1:24" ht="24.6" customHeight="1" thickBot="1" x14ac:dyDescent="0.35">
      <c r="A13" s="6" t="s">
        <v>213</v>
      </c>
      <c r="B13" s="6"/>
      <c r="C13" s="6"/>
      <c r="D13" s="6"/>
      <c r="E13" s="7" t="str">
        <f t="shared" ref="E13:X13" si="5">+E$2</f>
        <v>1Q 2024</v>
      </c>
      <c r="F13" s="7" t="str">
        <f t="shared" si="5"/>
        <v>2Q 2024</v>
      </c>
      <c r="G13" s="7" t="str">
        <f t="shared" si="5"/>
        <v>3Q 2024</v>
      </c>
      <c r="H13" s="7" t="str">
        <f t="shared" si="5"/>
        <v>4Q 2024</v>
      </c>
      <c r="I13" s="7" t="str">
        <f>+I$2</f>
        <v>1Q 2025</v>
      </c>
      <c r="J13" s="7" t="str">
        <f t="shared" si="5"/>
        <v>2Q 2025</v>
      </c>
      <c r="K13" s="7" t="str">
        <f t="shared" si="5"/>
        <v>3Q 2025</v>
      </c>
      <c r="L13" s="7" t="str">
        <f t="shared" si="5"/>
        <v>4Q 2025</v>
      </c>
      <c r="M13" s="7" t="str">
        <f t="shared" si="5"/>
        <v>1Q 2026</v>
      </c>
      <c r="N13" s="7" t="str">
        <f t="shared" si="5"/>
        <v>2Q 2026</v>
      </c>
      <c r="O13" s="7" t="str">
        <f t="shared" si="5"/>
        <v>3Q 2026</v>
      </c>
      <c r="P13" s="7" t="str">
        <f t="shared" si="5"/>
        <v>4Q 2026</v>
      </c>
      <c r="Q13" s="7" t="str">
        <f t="shared" si="5"/>
        <v>1Q 2027</v>
      </c>
      <c r="R13" s="7" t="str">
        <f t="shared" si="5"/>
        <v>2Q 2027</v>
      </c>
      <c r="S13" s="7" t="str">
        <f t="shared" si="5"/>
        <v>3Q 2027</v>
      </c>
      <c r="T13" s="7" t="str">
        <f t="shared" si="5"/>
        <v>4Q 2027</v>
      </c>
      <c r="U13" s="7" t="str">
        <f t="shared" si="5"/>
        <v>1Q 2028</v>
      </c>
      <c r="V13" s="7" t="str">
        <f t="shared" si="5"/>
        <v>2Q 2028</v>
      </c>
      <c r="W13" s="7" t="str">
        <f t="shared" si="5"/>
        <v>3Q 2028</v>
      </c>
      <c r="X13" s="7" t="str">
        <f t="shared" si="5"/>
        <v>4Q 2028</v>
      </c>
    </row>
    <row r="14" spans="1:24" ht="15" thickTop="1" x14ac:dyDescent="0.3"/>
    <row r="15" spans="1:24" x14ac:dyDescent="0.3">
      <c r="A15" s="16" t="s">
        <v>214</v>
      </c>
    </row>
    <row r="16" spans="1:24" x14ac:dyDescent="0.3">
      <c r="A16" t="s">
        <v>215</v>
      </c>
      <c r="B16" s="61">
        <v>2000</v>
      </c>
      <c r="C16" t="s">
        <v>27</v>
      </c>
      <c r="E16" s="37">
        <v>0</v>
      </c>
      <c r="F16" s="37">
        <v>0</v>
      </c>
      <c r="G16" s="37">
        <v>1</v>
      </c>
      <c r="H16" s="37">
        <v>1</v>
      </c>
      <c r="I16" s="37">
        <v>1</v>
      </c>
      <c r="J16" s="37">
        <v>1</v>
      </c>
      <c r="K16" s="37">
        <v>1</v>
      </c>
      <c r="L16" s="37">
        <v>1</v>
      </c>
      <c r="M16" s="37">
        <v>1</v>
      </c>
      <c r="N16" s="37">
        <v>1</v>
      </c>
      <c r="O16" s="37">
        <v>1</v>
      </c>
      <c r="P16" s="37">
        <v>1</v>
      </c>
      <c r="Q16" s="37">
        <v>1</v>
      </c>
      <c r="R16" s="37">
        <v>1</v>
      </c>
      <c r="S16" s="37">
        <v>1</v>
      </c>
      <c r="T16" s="37">
        <v>1</v>
      </c>
      <c r="U16" s="37">
        <v>1</v>
      </c>
      <c r="V16" s="37">
        <v>1</v>
      </c>
      <c r="W16" s="37">
        <v>1</v>
      </c>
      <c r="X16" s="37">
        <v>1</v>
      </c>
    </row>
    <row r="17" spans="1:24" x14ac:dyDescent="0.3">
      <c r="A17" t="s">
        <v>216</v>
      </c>
      <c r="B17" s="61">
        <v>1200</v>
      </c>
      <c r="C17" t="s">
        <v>27</v>
      </c>
      <c r="E17" s="37">
        <v>0</v>
      </c>
      <c r="F17" s="37">
        <v>0</v>
      </c>
      <c r="G17" s="37">
        <v>1</v>
      </c>
      <c r="H17" s="37">
        <v>1</v>
      </c>
      <c r="I17" s="37">
        <v>1</v>
      </c>
      <c r="J17" s="37">
        <v>1</v>
      </c>
      <c r="K17" s="37">
        <v>1</v>
      </c>
      <c r="L17" s="37">
        <v>1</v>
      </c>
      <c r="M17" s="37">
        <v>1</v>
      </c>
      <c r="N17" s="37">
        <v>1</v>
      </c>
      <c r="O17" s="37">
        <v>1</v>
      </c>
      <c r="P17" s="37">
        <v>1</v>
      </c>
      <c r="Q17" s="37">
        <v>1</v>
      </c>
      <c r="R17" s="37">
        <v>1</v>
      </c>
      <c r="S17" s="37">
        <v>1</v>
      </c>
      <c r="T17" s="37">
        <v>1</v>
      </c>
      <c r="U17" s="37">
        <v>1</v>
      </c>
      <c r="V17" s="37">
        <v>1</v>
      </c>
      <c r="W17" s="37">
        <v>1</v>
      </c>
      <c r="X17" s="37">
        <v>1</v>
      </c>
    </row>
    <row r="19" spans="1:24" x14ac:dyDescent="0.3">
      <c r="A19" s="16" t="s">
        <v>217</v>
      </c>
    </row>
    <row r="20" spans="1:24" x14ac:dyDescent="0.3">
      <c r="A20" t="s">
        <v>215</v>
      </c>
      <c r="B20" s="61">
        <v>2000</v>
      </c>
      <c r="C20" t="s">
        <v>27</v>
      </c>
      <c r="E20" s="37">
        <v>0</v>
      </c>
      <c r="F20" s="37">
        <v>0</v>
      </c>
      <c r="G20" s="37">
        <v>0.3</v>
      </c>
      <c r="H20" s="37">
        <v>0.6</v>
      </c>
      <c r="I20" s="37">
        <v>0.9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37">
        <v>1</v>
      </c>
      <c r="Q20" s="37">
        <v>1</v>
      </c>
      <c r="R20" s="37">
        <v>1</v>
      </c>
      <c r="S20" s="37">
        <v>1</v>
      </c>
      <c r="T20" s="37">
        <v>1</v>
      </c>
      <c r="U20" s="37">
        <v>1</v>
      </c>
      <c r="V20" s="37">
        <v>1</v>
      </c>
      <c r="W20" s="37">
        <v>1</v>
      </c>
      <c r="X20" s="37">
        <v>1</v>
      </c>
    </row>
    <row r="21" spans="1:24" x14ac:dyDescent="0.3">
      <c r="A21" t="s">
        <v>216</v>
      </c>
      <c r="B21" s="61">
        <v>1200</v>
      </c>
      <c r="C21" t="s">
        <v>27</v>
      </c>
      <c r="E21" s="37">
        <v>0</v>
      </c>
      <c r="F21" s="37">
        <v>0</v>
      </c>
      <c r="G21" s="37">
        <v>0.3</v>
      </c>
      <c r="H21" s="37">
        <v>0.6</v>
      </c>
      <c r="I21" s="37">
        <v>0.9</v>
      </c>
      <c r="J21" s="37">
        <v>1</v>
      </c>
      <c r="K21" s="37">
        <v>1</v>
      </c>
      <c r="L21" s="37">
        <v>1</v>
      </c>
      <c r="M21" s="37">
        <v>1</v>
      </c>
      <c r="N21" s="37">
        <v>1</v>
      </c>
      <c r="O21" s="37">
        <v>1</v>
      </c>
      <c r="P21" s="37">
        <v>1</v>
      </c>
      <c r="Q21" s="37">
        <v>1</v>
      </c>
      <c r="R21" s="37">
        <v>1</v>
      </c>
      <c r="S21" s="37">
        <v>1</v>
      </c>
      <c r="T21" s="37">
        <v>1</v>
      </c>
      <c r="U21" s="37">
        <v>1</v>
      </c>
      <c r="V21" s="37">
        <v>1</v>
      </c>
      <c r="W21" s="37">
        <v>1</v>
      </c>
      <c r="X21" s="37">
        <v>1</v>
      </c>
    </row>
    <row r="23" spans="1:24" x14ac:dyDescent="0.3">
      <c r="A23" s="16" t="s">
        <v>218</v>
      </c>
    </row>
    <row r="24" spans="1:24" x14ac:dyDescent="0.3">
      <c r="A24" t="s">
        <v>215</v>
      </c>
      <c r="B24" s="61">
        <v>2000</v>
      </c>
      <c r="C24" t="s">
        <v>27</v>
      </c>
      <c r="E24" s="37">
        <v>0</v>
      </c>
      <c r="F24" s="37">
        <v>0</v>
      </c>
      <c r="G24" s="37">
        <v>0.3</v>
      </c>
      <c r="H24" s="37">
        <v>0.5</v>
      </c>
      <c r="I24" s="37">
        <v>0.6</v>
      </c>
      <c r="J24" s="37">
        <v>0.8</v>
      </c>
      <c r="K24" s="37">
        <v>0.8</v>
      </c>
      <c r="L24" s="37">
        <v>0.8</v>
      </c>
      <c r="M24" s="37">
        <v>0.8</v>
      </c>
      <c r="N24" s="37">
        <v>0.8</v>
      </c>
      <c r="O24" s="37">
        <v>0.8</v>
      </c>
      <c r="P24" s="37">
        <v>0.8</v>
      </c>
      <c r="Q24" s="37">
        <v>0.8</v>
      </c>
      <c r="R24" s="37">
        <v>0.8</v>
      </c>
      <c r="S24" s="37">
        <v>0.8</v>
      </c>
      <c r="T24" s="37">
        <v>0.8</v>
      </c>
      <c r="U24" s="37">
        <v>0.8</v>
      </c>
      <c r="V24" s="37">
        <v>0.8</v>
      </c>
      <c r="W24" s="37">
        <v>0.8</v>
      </c>
      <c r="X24" s="37">
        <v>0.8</v>
      </c>
    </row>
    <row r="25" spans="1:24" x14ac:dyDescent="0.3">
      <c r="A25" t="s">
        <v>216</v>
      </c>
      <c r="B25" s="61">
        <v>1200</v>
      </c>
      <c r="C25" t="s">
        <v>27</v>
      </c>
      <c r="E25" s="37">
        <v>0</v>
      </c>
      <c r="F25" s="37">
        <v>0</v>
      </c>
      <c r="G25" s="37">
        <v>0.3</v>
      </c>
      <c r="H25" s="37">
        <v>0.5</v>
      </c>
      <c r="I25" s="37">
        <v>0.6</v>
      </c>
      <c r="J25" s="37">
        <v>0.8</v>
      </c>
      <c r="K25" s="37">
        <v>0.8</v>
      </c>
      <c r="L25" s="37">
        <v>0.8</v>
      </c>
      <c r="M25" s="37">
        <v>0.8</v>
      </c>
      <c r="N25" s="37">
        <v>0.8</v>
      </c>
      <c r="O25" s="37">
        <v>0.8</v>
      </c>
      <c r="P25" s="37">
        <v>0.8</v>
      </c>
      <c r="Q25" s="37">
        <v>0.8</v>
      </c>
      <c r="R25" s="37">
        <v>0.8</v>
      </c>
      <c r="S25" s="37">
        <v>0.8</v>
      </c>
      <c r="T25" s="37">
        <v>0.8</v>
      </c>
      <c r="U25" s="37">
        <v>0.8</v>
      </c>
      <c r="V25" s="37">
        <v>0.8</v>
      </c>
      <c r="W25" s="37">
        <v>0.8</v>
      </c>
      <c r="X25" s="37">
        <v>0.8</v>
      </c>
    </row>
    <row r="28" spans="1:24" ht="24.6" customHeight="1" thickBot="1" x14ac:dyDescent="0.35">
      <c r="A28" s="6" t="s">
        <v>221</v>
      </c>
      <c r="B28" s="6"/>
      <c r="C28" s="6"/>
      <c r="D28" s="6"/>
      <c r="E28" s="7" t="str">
        <f t="shared" ref="E28:X28" si="6">+E$2</f>
        <v>1Q 2024</v>
      </c>
      <c r="F28" s="7" t="str">
        <f t="shared" si="6"/>
        <v>2Q 2024</v>
      </c>
      <c r="G28" s="7" t="str">
        <f t="shared" si="6"/>
        <v>3Q 2024</v>
      </c>
      <c r="H28" s="7" t="str">
        <f t="shared" si="6"/>
        <v>4Q 2024</v>
      </c>
      <c r="I28" s="7" t="str">
        <f>+I$2</f>
        <v>1Q 2025</v>
      </c>
      <c r="J28" s="7" t="str">
        <f t="shared" si="6"/>
        <v>2Q 2025</v>
      </c>
      <c r="K28" s="7" t="str">
        <f t="shared" si="6"/>
        <v>3Q 2025</v>
      </c>
      <c r="L28" s="7" t="str">
        <f t="shared" si="6"/>
        <v>4Q 2025</v>
      </c>
      <c r="M28" s="7" t="str">
        <f t="shared" si="6"/>
        <v>1Q 2026</v>
      </c>
      <c r="N28" s="7" t="str">
        <f t="shared" si="6"/>
        <v>2Q 2026</v>
      </c>
      <c r="O28" s="7" t="str">
        <f t="shared" si="6"/>
        <v>3Q 2026</v>
      </c>
      <c r="P28" s="7" t="str">
        <f t="shared" si="6"/>
        <v>4Q 2026</v>
      </c>
      <c r="Q28" s="7" t="str">
        <f t="shared" si="6"/>
        <v>1Q 2027</v>
      </c>
      <c r="R28" s="7" t="str">
        <f t="shared" si="6"/>
        <v>2Q 2027</v>
      </c>
      <c r="S28" s="7" t="str">
        <f t="shared" si="6"/>
        <v>3Q 2027</v>
      </c>
      <c r="T28" s="7" t="str">
        <f t="shared" si="6"/>
        <v>4Q 2027</v>
      </c>
      <c r="U28" s="7" t="str">
        <f t="shared" si="6"/>
        <v>1Q 2028</v>
      </c>
      <c r="V28" s="7" t="str">
        <f t="shared" si="6"/>
        <v>2Q 2028</v>
      </c>
      <c r="W28" s="7" t="str">
        <f t="shared" si="6"/>
        <v>3Q 2028</v>
      </c>
      <c r="X28" s="7" t="str">
        <f t="shared" si="6"/>
        <v>4Q 2028</v>
      </c>
    </row>
    <row r="29" spans="1:24" ht="15" thickTop="1" x14ac:dyDescent="0.3"/>
    <row r="30" spans="1:24" x14ac:dyDescent="0.3">
      <c r="A30" t="s">
        <v>222</v>
      </c>
      <c r="B30" s="1">
        <v>115</v>
      </c>
      <c r="C30" t="str">
        <f>+Currency</f>
        <v>Rub '000'</v>
      </c>
    </row>
    <row r="31" spans="1:24" x14ac:dyDescent="0.3">
      <c r="A31" t="s">
        <v>223</v>
      </c>
      <c r="B31" s="37">
        <v>0.1</v>
      </c>
      <c r="C31" t="s">
        <v>17</v>
      </c>
    </row>
    <row r="33" spans="1:13" x14ac:dyDescent="0.3">
      <c r="A33" t="s">
        <v>224</v>
      </c>
      <c r="E33" s="19">
        <f ca="1">+Analysis!B12</f>
        <v>-11783.116592793936</v>
      </c>
      <c r="F33">
        <v>111</v>
      </c>
      <c r="G33">
        <v>112</v>
      </c>
      <c r="H33">
        <v>113</v>
      </c>
      <c r="I33">
        <v>114</v>
      </c>
      <c r="J33">
        <v>115</v>
      </c>
      <c r="K33">
        <v>116</v>
      </c>
      <c r="L33">
        <v>117</v>
      </c>
      <c r="M33">
        <v>118</v>
      </c>
    </row>
    <row r="34" spans="1:13" x14ac:dyDescent="0.3">
      <c r="E34" s="14">
        <v>0.08</v>
      </c>
      <c r="F34" s="38">
        <f t="dataTable" ref="F34:M38" dt2D="1" dtr="1" r1="B30" r2="B31" ca="1"/>
        <v>-11783.116592793936</v>
      </c>
      <c r="G34" s="38">
        <v>-11783.116592793936</v>
      </c>
      <c r="H34" s="38">
        <v>-11783.116592793936</v>
      </c>
      <c r="I34" s="38">
        <v>-11783.116592793936</v>
      </c>
      <c r="J34" s="38">
        <v>-11783.116592793936</v>
      </c>
      <c r="K34" s="38">
        <v>-11783.116592793936</v>
      </c>
      <c r="L34" s="38">
        <v>-11783.116592793936</v>
      </c>
      <c r="M34" s="38">
        <v>-11783.116592793936</v>
      </c>
    </row>
    <row r="35" spans="1:13" x14ac:dyDescent="0.3">
      <c r="E35" s="14">
        <v>0.09</v>
      </c>
      <c r="F35" s="38">
        <v>-11783.116592793936</v>
      </c>
      <c r="G35" s="38">
        <v>-11783.116592793936</v>
      </c>
      <c r="H35" s="38">
        <v>-11783.116592793936</v>
      </c>
      <c r="I35" s="38">
        <v>-11783.116592793936</v>
      </c>
      <c r="J35" s="38">
        <v>-11783.116592793936</v>
      </c>
      <c r="K35" s="38">
        <v>-11783.116592793936</v>
      </c>
      <c r="L35" s="38">
        <v>-11783.116592793936</v>
      </c>
      <c r="M35" s="38">
        <v>-11783.116592793936</v>
      </c>
    </row>
    <row r="36" spans="1:13" x14ac:dyDescent="0.3">
      <c r="E36" s="14">
        <v>0.1</v>
      </c>
      <c r="F36" s="38">
        <v>-11783.116592793936</v>
      </c>
      <c r="G36" s="38">
        <v>-11783.116592793936</v>
      </c>
      <c r="H36" s="38">
        <v>-11783.116592793936</v>
      </c>
      <c r="I36" s="38">
        <v>-11783.116592793936</v>
      </c>
      <c r="J36" s="38">
        <v>-11783.116592793936</v>
      </c>
      <c r="K36" s="38">
        <v>-11783.116592793936</v>
      </c>
      <c r="L36" s="38">
        <v>-11783.116592793936</v>
      </c>
      <c r="M36" s="38">
        <v>-11783.116592793936</v>
      </c>
    </row>
    <row r="37" spans="1:13" x14ac:dyDescent="0.3">
      <c r="E37" s="14">
        <v>0.11</v>
      </c>
      <c r="F37" s="38">
        <v>-11783.116592793936</v>
      </c>
      <c r="G37" s="38">
        <v>-11783.116592793936</v>
      </c>
      <c r="H37" s="38">
        <v>-11783.116592793936</v>
      </c>
      <c r="I37" s="38">
        <v>-11783.116592793936</v>
      </c>
      <c r="J37" s="38">
        <v>-11783.116592793936</v>
      </c>
      <c r="K37" s="38">
        <v>-11783.116592793936</v>
      </c>
      <c r="L37" s="38">
        <v>-11783.116592793936</v>
      </c>
      <c r="M37" s="38">
        <v>-11783.116592793936</v>
      </c>
    </row>
    <row r="38" spans="1:13" x14ac:dyDescent="0.3">
      <c r="E38" s="14">
        <v>0.12</v>
      </c>
      <c r="F38" s="38">
        <v>-11783.116592793936</v>
      </c>
      <c r="G38" s="38">
        <v>-11783.116592793936</v>
      </c>
      <c r="H38" s="38">
        <v>-11783.116592793936</v>
      </c>
      <c r="I38" s="38">
        <v>-11783.116592793936</v>
      </c>
      <c r="J38" s="38">
        <v>-11783.116592793936</v>
      </c>
      <c r="K38" s="38">
        <v>-11783.116592793936</v>
      </c>
      <c r="L38" s="38">
        <v>-11783.116592793936</v>
      </c>
      <c r="M38" s="38">
        <v>-11783.116592793936</v>
      </c>
    </row>
  </sheetData>
  <mergeCells count="1">
    <mergeCell ref="A1:A2"/>
  </mergeCells>
  <conditionalFormatting sqref="F34:M3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A2F6-72BD-494E-9DA8-ED867D79BD07}">
  <dimension ref="B2:R16"/>
  <sheetViews>
    <sheetView workbookViewId="0">
      <selection activeCell="N19" sqref="N19"/>
    </sheetView>
  </sheetViews>
  <sheetFormatPr defaultRowHeight="14.4" x14ac:dyDescent="0.3"/>
  <cols>
    <col min="11" max="11" width="16.33203125" bestFit="1" customWidth="1"/>
  </cols>
  <sheetData>
    <row r="2" spans="2:18" x14ac:dyDescent="0.3">
      <c r="B2">
        <v>2500</v>
      </c>
      <c r="C2">
        <v>5</v>
      </c>
      <c r="D2">
        <f t="shared" ref="D2:D7" si="0">+B2*C2</f>
        <v>12500</v>
      </c>
    </row>
    <row r="3" spans="2:18" x14ac:dyDescent="0.3">
      <c r="B3">
        <v>1600</v>
      </c>
      <c r="C3">
        <v>2</v>
      </c>
      <c r="D3">
        <f t="shared" si="0"/>
        <v>3200</v>
      </c>
      <c r="K3" t="s">
        <v>129</v>
      </c>
      <c r="L3" s="14">
        <v>7.0000000000000007E-2</v>
      </c>
    </row>
    <row r="4" spans="2:18" x14ac:dyDescent="0.3">
      <c r="B4">
        <v>1300</v>
      </c>
      <c r="C4">
        <v>1</v>
      </c>
      <c r="D4">
        <f t="shared" si="0"/>
        <v>1300</v>
      </c>
      <c r="K4" t="s">
        <v>130</v>
      </c>
      <c r="L4">
        <v>3</v>
      </c>
    </row>
    <row r="5" spans="2:18" x14ac:dyDescent="0.3">
      <c r="B5">
        <v>1900</v>
      </c>
      <c r="C5">
        <v>1</v>
      </c>
      <c r="D5">
        <f t="shared" si="0"/>
        <v>1900</v>
      </c>
      <c r="K5" t="s">
        <v>131</v>
      </c>
      <c r="L5">
        <v>2000</v>
      </c>
    </row>
    <row r="6" spans="2:18" x14ac:dyDescent="0.3">
      <c r="B6">
        <v>2200</v>
      </c>
      <c r="C6">
        <v>1</v>
      </c>
      <c r="D6">
        <f t="shared" si="0"/>
        <v>2200</v>
      </c>
    </row>
    <row r="7" spans="2:18" x14ac:dyDescent="0.3">
      <c r="B7">
        <v>2900</v>
      </c>
      <c r="C7">
        <v>1</v>
      </c>
      <c r="D7">
        <f t="shared" si="0"/>
        <v>2900</v>
      </c>
    </row>
    <row r="8" spans="2:18" x14ac:dyDescent="0.3">
      <c r="C8">
        <f>+SUM(C2:C7)</f>
        <v>11</v>
      </c>
      <c r="D8">
        <f>+SUM(D2:D7)</f>
        <v>24000</v>
      </c>
      <c r="K8" s="44">
        <f>+L5*(1+(L3/100))*3</f>
        <v>6004.2</v>
      </c>
      <c r="L8" s="45">
        <v>5.5E-2</v>
      </c>
      <c r="M8" s="45">
        <v>0.06</v>
      </c>
      <c r="N8" s="45">
        <v>6.5000000000000002E-2</v>
      </c>
      <c r="O8" s="45">
        <v>7.0000000000000007E-2</v>
      </c>
      <c r="P8" s="45">
        <v>7.4999999999999997E-2</v>
      </c>
      <c r="Q8" s="45">
        <v>0.08</v>
      </c>
      <c r="R8" s="45">
        <v>8.5000000000000006E-2</v>
      </c>
    </row>
    <row r="9" spans="2:18" x14ac:dyDescent="0.3">
      <c r="B9" t="s">
        <v>98</v>
      </c>
      <c r="L9">
        <f t="dataTable" ref="L9:R15" dt2D="1" dtr="1" r1="L3" r2="L5"/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2:18" x14ac:dyDescent="0.3">
      <c r="B10">
        <v>3500</v>
      </c>
      <c r="C10">
        <v>2</v>
      </c>
      <c r="D10">
        <f>+B10*C10</f>
        <v>7000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2:18" x14ac:dyDescent="0.3">
      <c r="B11" t="s">
        <v>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2:18" x14ac:dyDescent="0.3">
      <c r="B12" t="s">
        <v>100</v>
      </c>
      <c r="C12">
        <v>1</v>
      </c>
      <c r="D12">
        <v>3000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2:18" x14ac:dyDescent="0.3">
      <c r="B13" t="s">
        <v>101</v>
      </c>
      <c r="D13">
        <v>600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2:18" x14ac:dyDescent="0.3">
      <c r="B14" t="s">
        <v>102</v>
      </c>
      <c r="C14">
        <v>1</v>
      </c>
      <c r="D14">
        <v>1800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2:18" x14ac:dyDescent="0.3">
      <c r="D15">
        <f>+SUM(D8:D14)</f>
        <v>36400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2:18" x14ac:dyDescent="0.3">
      <c r="D1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Project Title</vt:lpstr>
      <vt:lpstr>Summary</vt:lpstr>
      <vt:lpstr>Macro</vt:lpstr>
      <vt:lpstr>Assumptions</vt:lpstr>
      <vt:lpstr>Reports</vt:lpstr>
      <vt:lpstr>Analysis</vt:lpstr>
      <vt:lpstr>Charts</vt:lpstr>
      <vt:lpstr>Scenario Analysis</vt:lpstr>
      <vt:lpstr>Eid Expense</vt:lpstr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2024-10-20T12:33:11Z</dcterms:modified>
</cp:coreProperties>
</file>