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4.xml" ContentType="application/vnd.openxmlformats-officedocument.drawing+xml"/>
  <Override PartName="/xl/worksheets/sheet20.xml" ContentType="application/vnd.openxmlformats-officedocument.spreadsheetml.worksheet+xml"/>
  <Override PartName="/xl/drawings/drawing5.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6.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drawings/drawing7.xml" ContentType="application/vnd.openxmlformats-officedocument.drawing+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898" firstSheet="12" activeTab="12" autoFilterDateGrouping="1"/>
  </bookViews>
  <sheets>
    <sheet name="申购数据-每日更新-0515" sheetId="1" state="visible" r:id="rId1"/>
    <sheet name="汇总" sheetId="2" state="visible" r:id="rId2"/>
    <sheet name="元康盛景20号" sheetId="3" state="visible" r:id="rId3"/>
    <sheet name="元康盛景26号" sheetId="4" state="visible" r:id="rId4"/>
    <sheet name="元康盛景28号" sheetId="5" state="visible" r:id="rId5"/>
    <sheet name="元康盛景29号" sheetId="6" state="visible" r:id="rId6"/>
    <sheet name="外贸信托_元康盛景1号" sheetId="7" state="visible" r:id="rId7"/>
    <sheet name="西南证券-东方" sheetId="8" state="visible" r:id="rId8"/>
    <sheet name="元康盛景30号" sheetId="9" state="visible" r:id="rId9"/>
    <sheet name="慧聚领航1号" sheetId="10" state="visible" r:id="rId10"/>
    <sheet name="苏信优先级Z2501" sheetId="11" state="visible" r:id="rId11"/>
    <sheet name="苏信次级Z2502" sheetId="12" state="visible" r:id="rId12"/>
    <sheet name="苏信混合Z2603" sheetId="13" state="visible" r:id="rId13"/>
    <sheet name="元康1号" sheetId="14" state="visible" r:id="rId14"/>
    <sheet name="元康9号" sheetId="15" state="visible" r:id="rId15"/>
    <sheet name="元康17号" sheetId="16" state="visible" r:id="rId16"/>
    <sheet name="朗瑞1_5" sheetId="17" state="visible" r:id="rId17"/>
    <sheet name="朗瑞1_7" sheetId="18" state="visible" r:id="rId18"/>
    <sheet name="朗瑞1_8" sheetId="19" state="visible" r:id="rId19"/>
    <sheet name="鹏雅119" sheetId="20" state="visible" r:id="rId20"/>
    <sheet name="鹏雅120" sheetId="21" state="visible" r:id="rId21"/>
    <sheet name="元康12号" sheetId="22" state="visible" r:id="rId22"/>
    <sheet name="中建投_臻泉2号" sheetId="23" state="visible" r:id="rId23"/>
    <sheet name="券商代买入券-正常" sheetId="24" state="visible" r:id="rId24"/>
    <sheet name="券商代买入券-不良" sheetId="25" state="visible" r:id="rId25"/>
    <sheet name="新发行及二级待投" sheetId="26" state="visible" r:id="rId26"/>
    <sheet name="集中度问题" sheetId="27" state="visible" r:id="rId27"/>
  </sheets>
  <definedNames>
    <definedName name="OLE_LINK7" localSheetId="8">元康盛景30号!$N$14</definedName>
    <definedName name="_xlnm._FilterDatabase" localSheetId="23" hidden="1">'券商代买入券-正常'!$A$1:$X$1</definedName>
    <definedName name="_xlnm._FilterDatabase" localSheetId="24" hidden="1">'券商代买入券-不良'!$A$1:$T$171</definedName>
  </definedNames>
  <calcPr calcId="191029" fullCalcOnLoad="1"/>
</workbook>
</file>

<file path=xl/styles.xml><?xml version="1.0" encoding="utf-8"?>
<styleSheet xmlns="http://schemas.openxmlformats.org/spreadsheetml/2006/main">
  <numFmts count="28">
    <numFmt numFmtId="164" formatCode="_ * #,##0.00_ ;_ * \-#,##0.00_ ;_ * &quot;-&quot;??_ ;_ @_ "/>
    <numFmt numFmtId="165" formatCode="_ * #,##0_ ;_ * \-#,##0_ ;_ * &quot;-&quot;??_ ;_ @_ "/>
    <numFmt numFmtId="166" formatCode="_ * #,##0.00000_ ;_ * \-#,##0.00000_ ;_ * &quot;-&quot;??_ ;_ @_ "/>
    <numFmt numFmtId="167" formatCode="_ * #,##0.0000_ ;_ * \-#,##0.0000_ ;_ * &quot;-&quot;??_ ;_ @_ "/>
    <numFmt numFmtId="168" formatCode="_ * #,##0.000_ ;_ * \-#,##0.000_ ;_ * &quot;-&quot;??_ ;_ @_ "/>
    <numFmt numFmtId="169" formatCode="0.000"/>
    <numFmt numFmtId="170" formatCode="0.000000_ "/>
    <numFmt numFmtId="171" formatCode="0.0000"/>
    <numFmt numFmtId="172" formatCode="0.0%"/>
    <numFmt numFmtId="173" formatCode="###,###,##0.0000"/>
    <numFmt numFmtId="174" formatCode="_ * #,##0.0000_ ;_ * \-#,##0.0000_ ;_ * &quot;-&quot;????_ ;_ @_ "/>
    <numFmt numFmtId="175" formatCode="#,##0.0_ "/>
    <numFmt numFmtId="176" formatCode="#,##0.00##"/>
    <numFmt numFmtId="177" formatCode="_ * #,##0.0_ ;_ * \-#,##0.0_ ;_ * &quot;-&quot;??_ ;_ @_ "/>
    <numFmt numFmtId="178" formatCode="_ * #,##0.000000000000_ ;_ * \-#,##0.000000000000_ ;_ * &quot;-&quot;??_ ;_ @_ "/>
    <numFmt numFmtId="179" formatCode="_ * #,##0.000_ ;_ * \-#,##0.000_ ;_ * &quot;-&quot;???_ ;_ @_ "/>
    <numFmt numFmtId="180" formatCode="_ * #,##0.00000_ ;_ * \-#,##0.00000_ ;_ * &quot;-&quot;?????_ ;_ @_ "/>
    <numFmt numFmtId="181" formatCode="0.000_ "/>
    <numFmt numFmtId="182" formatCode="#,##0.0000"/>
    <numFmt numFmtId="183" formatCode="#,##0.0000_ "/>
    <numFmt numFmtId="184" formatCode="#,##0_ "/>
    <numFmt numFmtId="185" formatCode="_ * #,##0.0000000_ ;_ * \-#,##0.0000000_ ;_ * &quot;-&quot;??_ ;_ @_ "/>
    <numFmt numFmtId="186" formatCode="_ [$¥-804]* #,##0.00_ ;_ [$¥-804]* \-#,##0.00_ ;_ [$¥-804]* &quot;-&quot;??_ ;_ @_ "/>
    <numFmt numFmtId="187" formatCode="[Red]&quot;Err: &quot;#,##0;[Red]&quot;Err: &quot;\-#,##0;&quot;OK&quot;"/>
    <numFmt numFmtId="188" formatCode="_(&quot;$&quot;* #,##0.00_);_(&quot;$&quot;* \(#,##0.00\);_(&quot;$&quot;* &quot;-&quot;??_);_(@_)"/>
    <numFmt numFmtId="189" formatCode="_-* #,##0.00_-;\-* #,##0.00_-;_-* &quot;-&quot;??_-;_-@_-"/>
    <numFmt numFmtId="190" formatCode="_-* #,##0_-;\-* #,##0_-;_-* &quot;-&quot;_-;_-@_-"/>
    <numFmt numFmtId="191" formatCode="yyyy-mm-dd h:mm:ss"/>
  </numFmts>
  <fonts count="133">
    <font>
      <name val="微软雅黑"/>
      <charset val="134"/>
      <family val="2"/>
      <color theme="1"/>
      <sz val="10"/>
    </font>
    <font>
      <name val="等线"/>
      <charset val="134"/>
      <family val="2"/>
      <color theme="1"/>
      <sz val="11"/>
      <scheme val="minor"/>
    </font>
    <font>
      <name val="等线"/>
      <charset val="134"/>
      <family val="2"/>
      <color theme="1"/>
      <sz val="11"/>
      <scheme val="minor"/>
    </font>
    <font>
      <name val="微软雅黑"/>
      <charset val="134"/>
      <family val="2"/>
      <color theme="1"/>
      <sz val="10"/>
    </font>
    <font>
      <name val="微软雅黑"/>
      <charset val="134"/>
      <family val="2"/>
      <color rgb="FFFF0000"/>
      <sz val="10"/>
    </font>
    <font>
      <name val="微软雅黑"/>
      <charset val="134"/>
      <family val="2"/>
      <b val="1"/>
      <color theme="1"/>
      <sz val="10"/>
    </font>
    <font>
      <name val="微软雅黑"/>
      <charset val="134"/>
      <family val="2"/>
      <sz val="9"/>
    </font>
    <font>
      <name val="等线"/>
      <charset val="134"/>
      <family val="3"/>
      <color theme="1"/>
      <sz val="11"/>
      <scheme val="minor"/>
    </font>
    <font>
      <name val="微软雅黑"/>
      <charset val="134"/>
      <family val="2"/>
      <color theme="1"/>
      <sz val="9"/>
    </font>
    <font>
      <name val="微软雅黑"/>
      <charset val="134"/>
      <family val="2"/>
      <color theme="1"/>
      <sz val="11"/>
    </font>
    <font>
      <name val="等线"/>
      <charset val="134"/>
      <family val="3"/>
      <sz val="9"/>
      <scheme val="minor"/>
    </font>
    <font>
      <name val="微软雅黑"/>
      <charset val="134"/>
      <family val="2"/>
      <color rgb="FFFF0000"/>
      <sz val="11"/>
    </font>
    <font>
      <name val="Arial"/>
      <charset val="134"/>
      <family val="2"/>
      <color theme="1"/>
      <sz val="10"/>
    </font>
    <font>
      <name val="宋体"/>
      <charset val="134"/>
      <family val="2"/>
      <color theme="1"/>
      <sz val="10"/>
    </font>
    <font>
      <name val="Arial"/>
      <family val="2"/>
      <color theme="1"/>
      <sz val="10"/>
    </font>
    <font>
      <name val="Arial"/>
      <charset val="134"/>
      <family val="2"/>
      <sz val="9"/>
    </font>
    <font>
      <name val="等线"/>
      <charset val="134"/>
      <family val="2"/>
      <sz val="9"/>
      <scheme val="minor"/>
    </font>
    <font>
      <name val="Arial"/>
      <charset val="134"/>
      <family val="3"/>
      <color theme="1"/>
      <sz val="11"/>
    </font>
    <font>
      <name val="宋体"/>
      <charset val="134"/>
      <family val="3"/>
      <color theme="1"/>
      <sz val="11"/>
    </font>
    <font>
      <name val="Arial"/>
      <family val="2"/>
      <color theme="1"/>
      <sz val="11"/>
    </font>
    <font>
      <name val="Arial"/>
      <family val="2"/>
      <sz val="9"/>
    </font>
    <font>
      <name val="宋体"/>
      <family val="3"/>
      <color theme="1"/>
      <sz val="11"/>
    </font>
    <font>
      <name val="Arial"/>
      <charset val="134"/>
      <family val="2"/>
      <color theme="1"/>
      <sz val="11"/>
    </font>
    <font>
      <name val="Arial"/>
      <charset val="134"/>
      <family val="2"/>
      <color theme="1"/>
      <sz val="9"/>
    </font>
    <font>
      <name val="宋体"/>
      <charset val="134"/>
      <family val="2"/>
      <color theme="1"/>
      <sz val="9"/>
    </font>
    <font>
      <name val="Arial"/>
      <family val="2"/>
      <color theme="1"/>
      <sz val="9"/>
    </font>
    <font>
      <name val="微软雅黑"/>
      <charset val="134"/>
      <family val="2"/>
      <sz val="10"/>
    </font>
    <font>
      <name val="宋体"/>
      <family val="3"/>
      <color theme="1"/>
      <sz val="9"/>
    </font>
    <font>
      <name val="Arial"/>
      <charset val="134"/>
      <family val="2"/>
      <b val="1"/>
      <color indexed="10"/>
      <sz val="9"/>
    </font>
    <font>
      <name val="宋体"/>
      <charset val="134"/>
      <family val="3"/>
      <sz val="9"/>
    </font>
    <font>
      <name val="宋体"/>
      <charset val="134"/>
      <family val="3"/>
      <color rgb="FFFF0000"/>
      <sz val="9"/>
    </font>
    <font>
      <name val="Arial"/>
      <charset val="134"/>
      <family val="2"/>
      <color rgb="FFFF0000"/>
      <sz val="11"/>
    </font>
    <font>
      <name val="宋体"/>
      <charset val="134"/>
      <family val="2"/>
      <color theme="1"/>
      <sz val="11"/>
    </font>
    <font>
      <name val="Arial"/>
      <family val="3"/>
      <color theme="1"/>
      <sz val="11"/>
    </font>
    <font>
      <name val="微软雅黑"/>
      <charset val="134"/>
      <family val="2"/>
      <b val="1"/>
      <color theme="1"/>
      <sz val="9"/>
    </font>
    <font>
      <name val="微软雅黑"/>
      <charset val="134"/>
      <family val="2"/>
      <b val="1"/>
      <sz val="10"/>
    </font>
    <font>
      <name val="Arial"/>
      <family val="2"/>
      <color rgb="FF333333"/>
      <sz val="10"/>
    </font>
    <font>
      <name val="微软雅黑"/>
      <charset val="134"/>
      <family val="2"/>
      <strike val="1"/>
      <color theme="1"/>
      <sz val="10"/>
    </font>
    <font>
      <name val="-apple-system"/>
      <color rgb="FF000000"/>
      <sz val="11"/>
    </font>
    <font>
      <name val="宋体"/>
      <family val="3"/>
      <color theme="1"/>
      <sz val="10"/>
    </font>
    <font>
      <name val="Arial"/>
      <family val="2"/>
      <sz val="10"/>
    </font>
    <font>
      <name val="Arial"/>
      <family val="2"/>
      <b val="1"/>
      <sz val="10"/>
    </font>
    <font>
      <name val="Arial"/>
      <family val="2"/>
      <color indexed="10"/>
      <sz val="10"/>
    </font>
    <font>
      <name val="Arial"/>
      <charset val="134"/>
      <family val="2"/>
      <b val="1"/>
      <color indexed="10"/>
      <sz val="10"/>
    </font>
    <font>
      <name val="Arial"/>
      <family val="2"/>
      <b val="1"/>
      <color indexed="10"/>
      <sz val="9"/>
    </font>
    <font>
      <name val="宋体"/>
      <charset val="134"/>
      <family val="3"/>
      <color theme="1"/>
      <sz val="9"/>
    </font>
    <font>
      <name val="微软雅黑"/>
      <charset val="134"/>
      <family val="2"/>
      <b val="1"/>
      <color indexed="10"/>
      <sz val="9"/>
    </font>
    <font>
      <name val="微软雅黑"/>
      <charset val="134"/>
      <family val="2"/>
      <color rgb="FFFF0000"/>
      <sz val="9"/>
    </font>
    <font>
      <name val="Arial"/>
      <family val="2"/>
      <b val="1"/>
      <color indexed="10"/>
      <sz val="9"/>
    </font>
    <font>
      <name val="Arial"/>
      <family val="2"/>
      <color theme="1"/>
      <sz val="9"/>
    </font>
    <font>
      <name val="微软雅黑"/>
      <family val="2"/>
      <color theme="1"/>
      <sz val="10"/>
    </font>
    <font>
      <name val="微软雅黑"/>
      <charset val="134"/>
      <family val="2"/>
      <color theme="8"/>
      <sz val="10"/>
    </font>
    <font>
      <name val="Arial"/>
      <family val="2"/>
      <color theme="1"/>
      <sz val="10"/>
    </font>
    <font>
      <name val="宋体"/>
      <family val="3"/>
      <sz val="10"/>
    </font>
    <font>
      <name val="宋体"/>
      <charset val="134"/>
      <family val="3"/>
      <sz val="10"/>
    </font>
    <font>
      <name val="等线"/>
      <family val="2"/>
      <color theme="1"/>
      <sz val="11"/>
      <scheme val="minor"/>
    </font>
    <font>
      <name val="楷体"/>
      <family val="3"/>
      <color theme="1"/>
      <sz val="10.5"/>
    </font>
    <font>
      <name val="微软雅黑"/>
      <charset val="134"/>
      <family val="2"/>
      <color theme="5"/>
      <sz val="10"/>
    </font>
    <font>
      <name val="Arial"/>
      <family val="2"/>
      <color rgb="FFFF0000"/>
      <sz val="10"/>
    </font>
    <font>
      <name val="微软雅黑"/>
      <charset val="134"/>
      <family val="2"/>
      <color theme="9"/>
      <sz val="10"/>
    </font>
    <font>
      <name val="宋体"/>
      <charset val="134"/>
      <family val="3"/>
      <color theme="1"/>
      <sz val="10"/>
    </font>
    <font>
      <name val="等线"/>
      <family val="3"/>
      <color theme="1"/>
      <sz val="11"/>
      <scheme val="minor"/>
    </font>
    <font>
      <name val="宋体"/>
      <family val="3"/>
      <sz val="9"/>
    </font>
    <font>
      <name val="宋体"/>
      <family val="3"/>
      <b val="1"/>
      <sz val="9"/>
    </font>
    <font>
      <name val="宋体"/>
      <charset val="134"/>
      <family val="3"/>
      <color rgb="FFFF0000"/>
      <sz val="11"/>
    </font>
    <font>
      <name val="宋体"/>
      <charset val="134"/>
      <family val="3"/>
      <color rgb="FF00AA00"/>
      <sz val="11"/>
    </font>
    <font>
      <name val="宋体"/>
      <charset val="134"/>
      <family val="3"/>
      <color rgb="FF808080"/>
      <sz val="11"/>
    </font>
    <font>
      <name val="微软雅黑"/>
      <charset val="134"/>
      <family val="2"/>
      <b val="1"/>
      <color rgb="FFFF0000"/>
      <sz val="10"/>
    </font>
    <font>
      <name val="等线"/>
      <charset val="134"/>
      <family val="2"/>
      <b val="1"/>
      <color theme="3"/>
      <sz val="15"/>
      <scheme val="minor"/>
    </font>
    <font>
      <name val="等线"/>
      <charset val="134"/>
      <family val="2"/>
      <b val="1"/>
      <color theme="3"/>
      <sz val="13"/>
      <scheme val="minor"/>
    </font>
    <font>
      <name val="等线"/>
      <charset val="134"/>
      <family val="2"/>
      <b val="1"/>
      <color theme="3"/>
      <sz val="11"/>
      <scheme val="minor"/>
    </font>
    <font>
      <name val="等线"/>
      <charset val="134"/>
      <family val="2"/>
      <color rgb="FF006100"/>
      <sz val="11"/>
      <scheme val="minor"/>
    </font>
    <font>
      <name val="等线"/>
      <charset val="134"/>
      <family val="2"/>
      <color rgb="FF9C0006"/>
      <sz val="11"/>
      <scheme val="minor"/>
    </font>
    <font>
      <name val="等线"/>
      <charset val="134"/>
      <family val="2"/>
      <color rgb="FF3F3F76"/>
      <sz val="11"/>
      <scheme val="minor"/>
    </font>
    <font>
      <name val="等线"/>
      <charset val="134"/>
      <family val="2"/>
      <b val="1"/>
      <color rgb="FF3F3F3F"/>
      <sz val="11"/>
      <scheme val="minor"/>
    </font>
    <font>
      <name val="等线"/>
      <charset val="134"/>
      <family val="2"/>
      <b val="1"/>
      <color rgb="FFFA7D00"/>
      <sz val="11"/>
      <scheme val="minor"/>
    </font>
    <font>
      <name val="等线"/>
      <charset val="134"/>
      <family val="2"/>
      <color rgb="FFFA7D00"/>
      <sz val="11"/>
      <scheme val="minor"/>
    </font>
    <font>
      <name val="等线"/>
      <charset val="134"/>
      <family val="2"/>
      <b val="1"/>
      <color theme="0"/>
      <sz val="11"/>
      <scheme val="minor"/>
    </font>
    <font>
      <name val="等线"/>
      <charset val="134"/>
      <family val="2"/>
      <color rgb="FFFF0000"/>
      <sz val="11"/>
      <scheme val="minor"/>
    </font>
    <font>
      <name val="等线"/>
      <charset val="134"/>
      <family val="2"/>
      <i val="1"/>
      <color rgb="FF7F7F7F"/>
      <sz val="11"/>
      <scheme val="minor"/>
    </font>
    <font>
      <name val="等线"/>
      <charset val="134"/>
      <family val="2"/>
      <b val="1"/>
      <color theme="1"/>
      <sz val="11"/>
      <scheme val="minor"/>
    </font>
    <font>
      <name val="等线"/>
      <charset val="134"/>
      <family val="2"/>
      <color theme="0"/>
      <sz val="11"/>
      <scheme val="minor"/>
    </font>
    <font>
      <name val="微软雅黑"/>
      <charset val="134"/>
      <family val="2"/>
      <color indexed="8"/>
      <sz val="10"/>
    </font>
    <font>
      <name val="等线 Light"/>
      <charset val="134"/>
      <family val="2"/>
      <b val="1"/>
      <color theme="3"/>
      <sz val="18"/>
      <scheme val="major"/>
    </font>
    <font>
      <name val="等线"/>
      <charset val="134"/>
      <family val="2"/>
      <color rgb="FF9C6500"/>
      <sz val="11"/>
      <scheme val="minor"/>
    </font>
    <font>
      <name val="宋体"/>
      <charset val="134"/>
      <family val="3"/>
      <sz val="12"/>
    </font>
    <font>
      <name val="宋体"/>
      <charset val="134"/>
      <family val="3"/>
      <color indexed="8"/>
      <sz val="11"/>
    </font>
    <font>
      <name val="宋体"/>
      <charset val="134"/>
      <family val="3"/>
      <color indexed="9"/>
      <sz val="11"/>
    </font>
    <font>
      <name val="等线"/>
      <family val="2"/>
      <color theme="1"/>
      <sz val="10"/>
      <scheme val="minor"/>
    </font>
    <font>
      <name val="等线"/>
      <charset val="134"/>
      <family val="3"/>
      <color theme="1"/>
      <sz val="12"/>
      <scheme val="minor"/>
    </font>
    <font>
      <name val="Arial"/>
      <family val="2"/>
      <color theme="1"/>
      <sz val="8"/>
    </font>
    <font>
      <name val="等线"/>
      <charset val="136"/>
      <family val="2"/>
      <color theme="1"/>
      <sz val="12"/>
      <scheme val="minor"/>
    </font>
    <font>
      <name val="宋体"/>
      <charset val="134"/>
      <family val="2"/>
      <color indexed="8"/>
      <sz val="11"/>
    </font>
    <font>
      <name val="Calibri"/>
      <family val="2"/>
      <sz val="12"/>
    </font>
    <font>
      <name val="等线"/>
      <family val="2"/>
      <color indexed="8"/>
      <sz val="11"/>
      <scheme val="minor"/>
    </font>
    <font>
      <name val="黑体"/>
      <charset val="134"/>
      <family val="2"/>
      <color theme="1"/>
      <sz val="10"/>
    </font>
    <font>
      <name val="宋体"/>
      <charset val="134"/>
      <family val="3"/>
      <b val="1"/>
      <color indexed="54"/>
      <sz val="15"/>
    </font>
    <font>
      <name val="宋体"/>
      <charset val="134"/>
      <family val="3"/>
      <b val="1"/>
      <color indexed="54"/>
      <sz val="13"/>
    </font>
    <font>
      <name val="宋体"/>
      <charset val="134"/>
      <family val="3"/>
      <b val="1"/>
      <color indexed="54"/>
      <sz val="11"/>
    </font>
    <font>
      <name val="等线"/>
      <charset val="134"/>
      <family val="3"/>
      <b val="1"/>
      <color theme="3"/>
      <sz val="11"/>
      <scheme val="minor"/>
    </font>
    <font>
      <name val="宋体"/>
      <charset val="134"/>
      <family val="3"/>
      <color indexed="54"/>
      <sz val="18"/>
    </font>
    <font>
      <name val="等线 Light"/>
      <charset val="134"/>
      <family val="3"/>
      <color theme="3"/>
      <sz val="18"/>
      <scheme val="major"/>
    </font>
    <font>
      <name val="宋体"/>
      <charset val="134"/>
      <family val="3"/>
      <color indexed="20"/>
      <sz val="11"/>
    </font>
    <font>
      <name val="楷体"/>
      <charset val="134"/>
      <family val="3"/>
      <color theme="1"/>
      <sz val="11"/>
    </font>
    <font>
      <name val="돋움"/>
      <charset val="129"/>
      <family val="2"/>
      <sz val="11"/>
    </font>
    <font>
      <name val="돋움"/>
      <family val="2"/>
      <sz val="11"/>
    </font>
    <font>
      <name val="等线"/>
      <charset val="134"/>
      <family val="3"/>
      <color indexed="8"/>
      <sz val="11"/>
    </font>
    <font>
      <name val="等线"/>
      <family val="2"/>
      <color theme="1"/>
      <sz val="12"/>
      <scheme val="minor"/>
    </font>
    <font>
      <name val="等线"/>
      <charset val="134"/>
      <family val="3"/>
      <color theme="1"/>
      <sz val="10"/>
      <scheme val="minor"/>
    </font>
    <font>
      <name val="等线"/>
      <charset val="134"/>
      <family val="3"/>
      <color indexed="8"/>
      <sz val="11"/>
      <scheme val="minor"/>
    </font>
    <font>
      <name val="Times New Roman"/>
      <family val="1"/>
      <sz val="10"/>
    </font>
    <font>
      <name val="宋体"/>
      <charset val="134"/>
      <family val="3"/>
      <color indexed="8"/>
      <sz val="12"/>
    </font>
    <font>
      <name val="宋体"/>
      <charset val="134"/>
      <family val="3"/>
      <color theme="1"/>
      <sz val="12"/>
    </font>
    <font>
      <name val="宋体"/>
      <charset val="134"/>
      <family val="2"/>
      <color theme="1"/>
      <sz val="12"/>
    </font>
    <font>
      <name val="宋体"/>
      <charset val="134"/>
      <family val="3"/>
      <color indexed="0"/>
      <sz val="10"/>
    </font>
    <font>
      <name val="等线"/>
      <charset val="134"/>
      <family val="3"/>
      <color theme="10"/>
      <sz val="11"/>
      <u val="single"/>
      <scheme val="minor"/>
    </font>
    <font>
      <name val="等线"/>
      <charset val="134"/>
      <family val="3"/>
      <color theme="10"/>
      <sz val="11"/>
      <u val="single"/>
    </font>
    <font>
      <name val="宋体"/>
      <charset val="134"/>
      <family val="3"/>
      <color indexed="12"/>
      <sz val="10"/>
      <u val="single"/>
    </font>
    <font>
      <name val="等线"/>
      <family val="2"/>
      <color theme="10"/>
      <sz val="11"/>
      <u val="single"/>
      <scheme val="minor"/>
    </font>
    <font>
      <name val="宋体"/>
      <charset val="134"/>
      <family val="3"/>
      <color indexed="17"/>
      <sz val="11"/>
    </font>
    <font>
      <name val="宋体"/>
      <charset val="134"/>
      <family val="3"/>
      <b val="1"/>
      <color indexed="8"/>
      <sz val="11"/>
    </font>
    <font>
      <name val="宋体"/>
      <charset val="134"/>
      <family val="3"/>
      <b val="1"/>
      <color indexed="52"/>
      <sz val="11"/>
    </font>
    <font>
      <name val="宋体"/>
      <charset val="134"/>
      <family val="3"/>
      <b val="1"/>
      <color indexed="9"/>
      <sz val="11"/>
    </font>
    <font>
      <name val="宋体"/>
      <charset val="134"/>
      <family val="3"/>
      <i val="1"/>
      <color indexed="23"/>
      <sz val="11"/>
    </font>
    <font>
      <name val="宋体"/>
      <charset val="134"/>
      <family val="3"/>
      <color indexed="10"/>
      <sz val="11"/>
    </font>
    <font>
      <name val="宋体"/>
      <charset val="134"/>
      <family val="3"/>
      <color indexed="52"/>
      <sz val="11"/>
    </font>
    <font>
      <name val="宋体"/>
      <charset val="134"/>
      <family val="3"/>
      <color indexed="60"/>
      <sz val="11"/>
    </font>
    <font>
      <name val="宋体"/>
      <charset val="134"/>
      <family val="3"/>
      <b val="1"/>
      <color indexed="63"/>
      <sz val="11"/>
    </font>
    <font>
      <name val="宋体"/>
      <charset val="134"/>
      <family val="3"/>
      <color indexed="62"/>
      <sz val="11"/>
    </font>
    <font>
      <name val="Times New Roman"/>
      <family val="1"/>
      <sz val="12"/>
    </font>
    <font>
      <name val="Calibri"/>
      <family val="2"/>
      <color rgb="FF000000"/>
      <sz val="11"/>
    </font>
    <font>
      <name val="宋体"/>
      <family val="3"/>
      <color indexed="8"/>
      <sz val="10"/>
    </font>
    <font>
      <name val="宋体"/>
      <charset val="134"/>
      <family val="3"/>
      <b val="1"/>
      <sz val="9"/>
    </font>
  </fonts>
  <fills count="69">
    <fill>
      <patternFill/>
    </fill>
    <fill>
      <patternFill patternType="gray125"/>
    </fill>
    <fill>
      <patternFill patternType="solid">
        <fgColor theme="0" tint="-0.0499893185216834"/>
        <bgColor indexed="64"/>
      </patternFill>
    </fill>
    <fill>
      <patternFill patternType="solid">
        <fgColor theme="4" tint="0.7999511703848384"/>
        <bgColor indexed="64"/>
      </patternFill>
    </fill>
    <fill>
      <patternFill patternType="solid">
        <fgColor theme="4" tint="0.3999450666829432"/>
        <bgColor indexed="64"/>
      </patternFill>
    </fill>
    <fill>
      <patternFill patternType="solid">
        <fgColor theme="0"/>
        <bgColor indexed="64"/>
      </patternFill>
    </fill>
    <fill>
      <patternFill patternType="solid">
        <fgColor rgb="FFFFFF00"/>
        <bgColor indexed="64"/>
      </patternFill>
    </fill>
    <fill>
      <patternFill patternType="solid">
        <fgColor theme="5" tint="0.5999938962981048"/>
        <bgColor indexed="64"/>
      </patternFill>
    </fill>
    <fill>
      <patternFill patternType="solid">
        <fgColor theme="3" tint="0.749992370372631"/>
        <bgColor indexed="64"/>
      </patternFill>
    </fill>
    <fill>
      <patternFill patternType="solid">
        <fgColor theme="6" tint="0.7999816888943144"/>
        <bgColor indexed="64"/>
      </patternFill>
    </fill>
    <fill>
      <patternFill patternType="solid">
        <fgColor theme="9" tint="0.7999816888943144"/>
        <bgColor indexed="64"/>
      </patternFill>
    </fill>
    <fill>
      <patternFill patternType="solid">
        <fgColor theme="3" tint="0.7999816888943144"/>
        <bgColor indexed="64"/>
      </patternFill>
    </fill>
    <fill>
      <patternFill patternType="solid">
        <fgColor theme="7" tint="0.7999816888943144"/>
        <bgColor indexed="64"/>
      </patternFill>
    </fill>
    <fill>
      <patternFill patternType="solid">
        <fgColor indexed="9"/>
        <bgColor indexed="64"/>
      </patternFill>
    </fill>
    <fill>
      <patternFill patternType="solid">
        <fgColor theme="7" tint="0.5999938962981048"/>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3" tint="0.8999908444471572"/>
        <bgColor indexed="64"/>
      </patternFill>
    </fill>
    <fill>
      <patternFill patternType="solid">
        <fgColor rgb="FFFF0000"/>
        <bgColor indexed="64"/>
      </patternFill>
    </fill>
    <fill>
      <patternFill patternType="solid">
        <fgColor theme="8" tint="0.7999816888943144"/>
        <bgColor indexed="64"/>
      </patternFill>
    </fill>
    <fill>
      <patternFill patternType="solid">
        <fgColor theme="2" tint="-0.09997863704336681"/>
        <bgColor indexed="64"/>
      </patternFill>
    </fill>
    <fill>
      <patternFill patternType="solid">
        <fgColor rgb="FFFFC000"/>
        <bgColor indexed="64"/>
      </patternFill>
    </fill>
    <fill>
      <patternFill patternType="solid">
        <fgColor theme="0" tint="-0.149998474074526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indexed="27"/>
        <bgColor indexed="64"/>
      </patternFill>
    </fill>
    <fill>
      <patternFill patternType="solid">
        <fgColor indexed="47"/>
        <bgColor indexed="64"/>
      </patternFill>
    </fill>
    <fill>
      <patternFill patternType="solid">
        <fgColor indexed="26"/>
        <bgColor indexed="64"/>
      </patternFill>
    </fill>
    <fill>
      <patternFill patternType="solid">
        <fgColor indexed="31"/>
        <bgColor indexed="64"/>
      </patternFill>
    </fill>
    <fill>
      <patternFill patternType="solid">
        <fgColor indexed="42"/>
        <bgColor indexed="64"/>
      </patternFill>
    </fill>
    <fill>
      <patternFill patternType="solid">
        <fgColor indexed="44"/>
        <bgColor indexed="64"/>
      </patternFill>
    </fill>
    <fill>
      <patternFill patternType="solid">
        <fgColor indexed="22"/>
        <bgColor indexed="64"/>
      </patternFill>
    </fill>
    <fill>
      <patternFill patternType="solid">
        <fgColor indexed="43"/>
        <bgColor indexed="64"/>
      </patternFill>
    </fill>
    <fill>
      <patternFill patternType="solid">
        <fgColor indexed="49"/>
        <bgColor indexed="64"/>
      </patternFill>
    </fill>
    <fill>
      <patternFill patternType="solid">
        <fgColor indexed="57"/>
        <bgColor indexed="64"/>
      </patternFill>
    </fill>
    <fill>
      <patternFill patternType="solid">
        <fgColor indexed="45"/>
        <bgColor indexed="64"/>
      </patternFill>
    </fill>
    <fill>
      <patternFill patternType="solid">
        <fgColor indexed="55"/>
        <bgColor indexed="64"/>
      </patternFill>
    </fill>
    <fill>
      <patternFill patternType="solid">
        <fgColor indexed="53"/>
        <bgColor indexed="64"/>
      </patternFill>
    </fill>
    <fill>
      <patternFill patternType="solid">
        <fgColor indexed="51"/>
        <bgColor indexed="64"/>
      </patternFill>
    </fill>
    <fill>
      <patternFill patternType="solid">
        <fgColor indexed="62"/>
        <bgColor indexed="64"/>
      </patternFill>
    </fill>
  </fills>
  <borders count="34">
    <border>
      <left/>
      <right/>
      <top/>
      <bottom/>
      <diagonal/>
    </border>
    <border>
      <left style="hair">
        <color theme="0" tint="-0.249946592608417"/>
      </left>
      <right style="hair">
        <color theme="0" tint="-0.249946592608417"/>
      </right>
      <top style="hair">
        <color theme="0" tint="-0.249946592608417"/>
      </top>
      <bottom style="hair">
        <color theme="0" tint="-0.249946592608417"/>
      </bottom>
      <diagonal/>
    </border>
    <border>
      <left style="thin">
        <color auto="1"/>
      </left>
      <right style="thin">
        <color auto="1"/>
      </right>
      <top style="thin">
        <color auto="1"/>
      </top>
      <bottom style="thin">
        <color auto="1"/>
      </bottom>
      <diagonal/>
    </border>
    <border>
      <left style="thin">
        <color indexed="17"/>
      </left>
      <right style="thin">
        <color indexed="17"/>
      </right>
      <top style="thin">
        <color indexed="17"/>
      </top>
      <bottom style="thin">
        <color indexed="17"/>
      </bottom>
      <diagonal/>
    </border>
    <border>
      <left/>
      <right/>
      <top/>
      <bottom style="thin">
        <color indexed="64"/>
      </bottom>
      <diagonal/>
    </border>
    <border>
      <left/>
      <right style="thin">
        <color indexed="23"/>
      </right>
      <top/>
      <bottom/>
      <diagonal/>
    </border>
    <border>
      <left/>
      <right/>
      <top style="thin">
        <color indexed="64"/>
      </top>
      <bottom/>
      <diagonal/>
    </border>
    <border>
      <left/>
      <right/>
      <top style="thin">
        <color indexed="64"/>
      </top>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17"/>
      </left>
      <right style="thin">
        <color indexed="17"/>
      </right>
      <top style="thin">
        <color indexed="17"/>
      </top>
      <bottom style="thin">
        <color indexed="17"/>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s>
  <cellStyleXfs count="35307">
    <xf numFmtId="0" fontId="3" fillId="0" borderId="0" applyAlignment="1">
      <alignment vertical="center"/>
    </xf>
    <xf numFmtId="43" fontId="3" fillId="0" borderId="0" applyAlignment="1">
      <alignment vertical="center"/>
    </xf>
    <xf numFmtId="0" fontId="7" fillId="0" borderId="0"/>
    <xf numFmtId="43" fontId="7" fillId="0" borderId="0" applyAlignment="1">
      <alignment vertical="center"/>
    </xf>
    <xf numFmtId="9" fontId="7" fillId="0" borderId="0" applyAlignment="1">
      <alignment vertical="center"/>
    </xf>
    <xf numFmtId="9" fontId="3" fillId="0" borderId="0" applyAlignment="1">
      <alignment vertical="center"/>
    </xf>
    <xf numFmtId="0" fontId="19" fillId="0" borderId="0" applyAlignment="1">
      <alignment vertical="center"/>
    </xf>
    <xf numFmtId="0" fontId="55" fillId="0" borderId="0"/>
    <xf numFmtId="0" fontId="7" fillId="0" borderId="0" applyAlignment="1">
      <alignment vertical="center"/>
    </xf>
    <xf numFmtId="43"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9" fontId="7" fillId="0" borderId="0" applyAlignment="1">
      <alignment vertical="center"/>
    </xf>
    <xf numFmtId="186" fontId="85" fillId="0" borderId="0"/>
    <xf numFmtId="186" fontId="85" fillId="0" borderId="0"/>
    <xf numFmtId="186" fontId="85" fillId="0" borderId="0"/>
    <xf numFmtId="186" fontId="85" fillId="0" borderId="0"/>
    <xf numFmtId="186" fontId="40" fillId="0" borderId="0"/>
    <xf numFmtId="186" fontId="40" fillId="0" borderId="0"/>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86" fillId="54"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1"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86" fillId="5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5"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86" fillId="13"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39"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86" fillId="56"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3"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86" fillId="5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47"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86" fillId="58"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2" fillId="51" borderId="0" applyAlignment="1">
      <alignment vertical="center"/>
    </xf>
    <xf numFmtId="186" fontId="86" fillId="54" borderId="0" applyAlignment="1">
      <alignment vertical="center"/>
    </xf>
    <xf numFmtId="186" fontId="86" fillId="54" borderId="0" applyAlignment="1">
      <alignment vertical="center"/>
    </xf>
    <xf numFmtId="186" fontId="86" fillId="54" borderId="0" applyAlignment="1">
      <alignment vertical="center"/>
    </xf>
    <xf numFmtId="186" fontId="86" fillId="55" borderId="0" applyAlignment="1">
      <alignment vertical="center"/>
    </xf>
    <xf numFmtId="186" fontId="86" fillId="55" borderId="0" applyAlignment="1">
      <alignment vertical="center"/>
    </xf>
    <xf numFmtId="186" fontId="86" fillId="55" borderId="0" applyAlignment="1">
      <alignment vertical="center"/>
    </xf>
    <xf numFmtId="186" fontId="86" fillId="13" borderId="0" applyAlignment="1">
      <alignment vertical="center"/>
    </xf>
    <xf numFmtId="186" fontId="86" fillId="13" borderId="0" applyAlignment="1">
      <alignment vertical="center"/>
    </xf>
    <xf numFmtId="186" fontId="86" fillId="13" borderId="0" applyAlignment="1">
      <alignment vertical="center"/>
    </xf>
    <xf numFmtId="186" fontId="86" fillId="56" borderId="0" applyAlignment="1">
      <alignment vertical="center"/>
    </xf>
    <xf numFmtId="186" fontId="86" fillId="56" borderId="0" applyAlignment="1">
      <alignment vertical="center"/>
    </xf>
    <xf numFmtId="186" fontId="86" fillId="56" borderId="0" applyAlignment="1">
      <alignment vertical="center"/>
    </xf>
    <xf numFmtId="186" fontId="86" fillId="57" borderId="0" applyAlignment="1">
      <alignment vertical="center"/>
    </xf>
    <xf numFmtId="186" fontId="86" fillId="57" borderId="0" applyAlignment="1">
      <alignment vertical="center"/>
    </xf>
    <xf numFmtId="186" fontId="86" fillId="57" borderId="0" applyAlignment="1">
      <alignment vertical="center"/>
    </xf>
    <xf numFmtId="186" fontId="86" fillId="58" borderId="0" applyAlignment="1">
      <alignment vertical="center"/>
    </xf>
    <xf numFmtId="186" fontId="86" fillId="58" borderId="0" applyAlignment="1">
      <alignment vertical="center"/>
    </xf>
    <xf numFmtId="186" fontId="86" fillId="58"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86" fillId="59"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2"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86" fillId="55"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36"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86" fillId="6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0"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86" fillId="61"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4"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86" fillId="59"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48"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86" fillId="61"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2" fillId="52" borderId="0" applyAlignment="1">
      <alignment vertical="center"/>
    </xf>
    <xf numFmtId="186" fontId="86" fillId="59" borderId="0" applyAlignment="1">
      <alignment vertical="center"/>
    </xf>
    <xf numFmtId="186" fontId="86" fillId="59" borderId="0" applyAlignment="1">
      <alignment vertical="center"/>
    </xf>
    <xf numFmtId="186" fontId="86" fillId="59" borderId="0" applyAlignment="1">
      <alignment vertical="center"/>
    </xf>
    <xf numFmtId="186" fontId="86" fillId="55" borderId="0" applyAlignment="1">
      <alignment vertical="center"/>
    </xf>
    <xf numFmtId="186" fontId="86" fillId="55" borderId="0" applyAlignment="1">
      <alignment vertical="center"/>
    </xf>
    <xf numFmtId="186" fontId="86" fillId="55" borderId="0" applyAlignment="1">
      <alignment vertical="center"/>
    </xf>
    <xf numFmtId="186" fontId="86" fillId="60" borderId="0" applyAlignment="1">
      <alignment vertical="center"/>
    </xf>
    <xf numFmtId="186" fontId="86" fillId="60" borderId="0" applyAlignment="1">
      <alignment vertical="center"/>
    </xf>
    <xf numFmtId="186" fontId="86" fillId="60" borderId="0" applyAlignment="1">
      <alignment vertical="center"/>
    </xf>
    <xf numFmtId="186" fontId="86" fillId="61" borderId="0" applyAlignment="1">
      <alignment vertical="center"/>
    </xf>
    <xf numFmtId="186" fontId="86" fillId="61" borderId="0" applyAlignment="1">
      <alignment vertical="center"/>
    </xf>
    <xf numFmtId="186" fontId="86" fillId="61" borderId="0" applyAlignment="1">
      <alignment vertical="center"/>
    </xf>
    <xf numFmtId="186" fontId="86" fillId="59" borderId="0" applyAlignment="1">
      <alignment vertical="center"/>
    </xf>
    <xf numFmtId="186" fontId="86" fillId="59" borderId="0" applyAlignment="1">
      <alignment vertical="center"/>
    </xf>
    <xf numFmtId="186" fontId="86" fillId="59" borderId="0" applyAlignment="1">
      <alignment vertical="center"/>
    </xf>
    <xf numFmtId="186" fontId="86" fillId="61" borderId="0" applyAlignment="1">
      <alignment vertical="center"/>
    </xf>
    <xf numFmtId="186" fontId="86" fillId="61" borderId="0" applyAlignment="1">
      <alignment vertical="center"/>
    </xf>
    <xf numFmtId="186" fontId="86" fillId="61" borderId="0" applyAlignment="1">
      <alignment vertical="center"/>
    </xf>
    <xf numFmtId="186" fontId="87" fillId="59" borderId="0" applyAlignment="1">
      <alignment vertical="center"/>
    </xf>
    <xf numFmtId="186" fontId="87" fillId="55" borderId="0" applyAlignment="1">
      <alignment vertical="center"/>
    </xf>
    <xf numFmtId="186" fontId="87" fillId="60" borderId="0" applyAlignment="1">
      <alignment vertical="center"/>
    </xf>
    <xf numFmtId="186" fontId="87" fillId="61" borderId="0" applyAlignment="1">
      <alignment vertical="center"/>
    </xf>
    <xf numFmtId="186" fontId="87" fillId="62" borderId="0" applyAlignment="1">
      <alignment vertical="center"/>
    </xf>
    <xf numFmtId="186" fontId="87" fillId="63" borderId="0" applyAlignment="1">
      <alignment vertical="center"/>
    </xf>
    <xf numFmtId="186" fontId="87" fillId="59" borderId="0" applyAlignment="1">
      <alignment vertical="center"/>
    </xf>
    <xf numFmtId="186" fontId="87" fillId="59" borderId="0" applyAlignment="1">
      <alignment vertical="center"/>
    </xf>
    <xf numFmtId="186" fontId="87" fillId="59" borderId="0" applyAlignment="1">
      <alignment vertical="center"/>
    </xf>
    <xf numFmtId="186" fontId="87" fillId="55" borderId="0" applyAlignment="1">
      <alignment vertical="center"/>
    </xf>
    <xf numFmtId="186" fontId="87" fillId="55" borderId="0" applyAlignment="1">
      <alignment vertical="center"/>
    </xf>
    <xf numFmtId="186" fontId="87" fillId="55" borderId="0" applyAlignment="1">
      <alignment vertical="center"/>
    </xf>
    <xf numFmtId="186" fontId="87" fillId="60" borderId="0" applyAlignment="1">
      <alignment vertical="center"/>
    </xf>
    <xf numFmtId="186" fontId="87" fillId="60" borderId="0" applyAlignment="1">
      <alignment vertical="center"/>
    </xf>
    <xf numFmtId="186" fontId="87" fillId="60" borderId="0" applyAlignment="1">
      <alignment vertical="center"/>
    </xf>
    <xf numFmtId="186" fontId="87" fillId="61" borderId="0" applyAlignment="1">
      <alignment vertical="center"/>
    </xf>
    <xf numFmtId="186" fontId="87" fillId="61" borderId="0" applyAlignment="1">
      <alignment vertical="center"/>
    </xf>
    <xf numFmtId="186" fontId="87" fillId="61" borderId="0" applyAlignment="1">
      <alignment vertical="center"/>
    </xf>
    <xf numFmtId="186" fontId="87" fillId="62" borderId="0" applyAlignment="1">
      <alignment vertical="center"/>
    </xf>
    <xf numFmtId="186" fontId="87" fillId="62" borderId="0" applyAlignment="1">
      <alignment vertical="center"/>
    </xf>
    <xf numFmtId="186" fontId="87" fillId="62" borderId="0" applyAlignment="1">
      <alignment vertical="center"/>
    </xf>
    <xf numFmtId="186" fontId="87" fillId="63" borderId="0" applyAlignment="1">
      <alignment vertical="center"/>
    </xf>
    <xf numFmtId="186" fontId="87" fillId="63" borderId="0" applyAlignment="1">
      <alignment vertical="center"/>
    </xf>
    <xf numFmtId="186" fontId="87" fillId="63" borderId="0" applyAlignment="1">
      <alignment vertical="center"/>
    </xf>
    <xf numFmtId="187" fontId="88" fillId="0" borderId="0"/>
    <xf numFmtId="188" fontId="40" fillId="0" borderId="0"/>
    <xf numFmtId="186" fontId="85" fillId="0" borderId="0" applyAlignment="1">
      <alignment vertical="center"/>
    </xf>
    <xf numFmtId="186" fontId="85" fillId="0" borderId="0" applyAlignment="1">
      <alignment vertical="center"/>
    </xf>
    <xf numFmtId="186" fontId="85" fillId="0" borderId="0" applyAlignment="1">
      <alignment vertical="center"/>
    </xf>
    <xf numFmtId="186" fontId="2" fillId="0" borderId="0"/>
    <xf numFmtId="186" fontId="54"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2" fillId="0" borderId="0"/>
    <xf numFmtId="186" fontId="54" fillId="0" borderId="0" applyAlignment="1">
      <alignment vertical="center"/>
    </xf>
    <xf numFmtId="186" fontId="2" fillId="0" borderId="0"/>
    <xf numFmtId="186" fontId="54" fillId="0" borderId="0" applyAlignment="1">
      <alignment vertical="center"/>
    </xf>
    <xf numFmtId="186" fontId="52"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8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9" fillId="0" borderId="0" applyProtection="1">
      <protection locked="0" hidden="0"/>
    </xf>
    <xf numFmtId="186" fontId="7" fillId="0" borderId="0" applyAlignment="1">
      <alignment vertical="center"/>
    </xf>
    <xf numFmtId="186" fontId="2" fillId="0" borderId="0"/>
    <xf numFmtId="186" fontId="2" fillId="0" borderId="0"/>
    <xf numFmtId="186" fontId="90" fillId="0" borderId="0"/>
    <xf numFmtId="186" fontId="2" fillId="0" borderId="0"/>
    <xf numFmtId="186" fontId="2" fillId="0" borderId="0"/>
    <xf numFmtId="186" fontId="2"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xf numFmtId="186" fontId="2" fillId="0" borderId="0"/>
    <xf numFmtId="186" fontId="2" fillId="0" borderId="0"/>
    <xf numFmtId="186" fontId="91" fillId="0" borderId="0" applyAlignment="1">
      <alignment vertical="center"/>
    </xf>
    <xf numFmtId="186" fontId="2" fillId="0" borderId="0"/>
    <xf numFmtId="186" fontId="2" fillId="0" borderId="0"/>
    <xf numFmtId="186" fontId="85" fillId="0" borderId="0"/>
    <xf numFmtId="186" fontId="85" fillId="0" borderId="0"/>
    <xf numFmtId="186" fontId="40" fillId="0" borderId="0"/>
    <xf numFmtId="186" fontId="40" fillId="0" borderId="0"/>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7"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186" fontId="2" fillId="0" borderId="0" applyAlignment="1">
      <alignment wrapText="1"/>
    </xf>
    <xf numFmtId="186" fontId="7" fillId="0" borderId="0" applyAlignment="1">
      <alignment wrapText="1"/>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9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7" fillId="0" borderId="0" applyAlignment="1">
      <alignment vertical="center"/>
    </xf>
    <xf numFmtId="9" fontId="55" fillId="0" borderId="0" applyAlignment="1">
      <alignment vertical="center"/>
    </xf>
    <xf numFmtId="9" fontId="7" fillId="0" borderId="0" applyAlignment="1">
      <alignment vertical="center"/>
    </xf>
    <xf numFmtId="9" fontId="55" fillId="0" borderId="0" applyAlignment="1">
      <alignment vertical="center"/>
    </xf>
    <xf numFmtId="9" fontId="55"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9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86" fillId="0" borderId="0" applyAlignment="1">
      <alignment vertical="center"/>
    </xf>
    <xf numFmtId="9" fontId="86" fillId="0" borderId="0" applyAlignment="1">
      <alignment vertical="center"/>
    </xf>
    <xf numFmtId="9" fontId="2" fillId="0" borderId="0" applyAlignment="1">
      <alignment vertical="center"/>
    </xf>
    <xf numFmtId="9" fontId="86" fillId="0" borderId="0" applyAlignment="1">
      <alignment vertical="center"/>
    </xf>
    <xf numFmtId="9" fontId="85" fillId="0" borderId="0" applyAlignment="1">
      <alignment vertical="center"/>
    </xf>
    <xf numFmtId="9" fontId="86"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40" fillId="0" borderId="0"/>
    <xf numFmtId="9" fontId="7" fillId="0" borderId="0" applyAlignment="1">
      <alignment vertical="center"/>
    </xf>
    <xf numFmtId="9" fontId="55" fillId="0" borderId="0" applyAlignment="1">
      <alignment vertical="center"/>
    </xf>
    <xf numFmtId="9" fontId="55" fillId="0" borderId="0" applyAlignment="1">
      <alignment vertical="center"/>
    </xf>
    <xf numFmtId="9" fontId="2" fillId="0" borderId="0" applyAlignment="1">
      <alignment vertical="center"/>
    </xf>
    <xf numFmtId="9" fontId="55" fillId="0" borderId="0" applyAlignment="1">
      <alignment vertical="center"/>
    </xf>
    <xf numFmtId="9" fontId="7" fillId="0" borderId="0" applyAlignment="1">
      <alignment vertical="center"/>
    </xf>
    <xf numFmtId="9" fontId="2" fillId="0" borderId="0" applyAlignment="1">
      <alignment vertical="center"/>
    </xf>
    <xf numFmtId="9" fontId="85"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8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54"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86" fillId="0" borderId="0" applyAlignment="1">
      <alignment vertical="center"/>
    </xf>
    <xf numFmtId="9" fontId="2" fillId="0" borderId="0" applyAlignment="1">
      <alignment vertical="center"/>
    </xf>
    <xf numFmtId="9" fontId="8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54"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5" fillId="0" borderId="0" applyAlignment="1">
      <alignment vertical="center"/>
    </xf>
    <xf numFmtId="9" fontId="8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4" fillId="0" borderId="0" applyAlignment="1">
      <alignment vertical="center"/>
    </xf>
    <xf numFmtId="9" fontId="86" fillId="0" borderId="0" applyAlignment="1">
      <alignment vertical="center"/>
    </xf>
    <xf numFmtId="9" fontId="7"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54"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85"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93"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93" fillId="0" borderId="0" applyAlignment="1">
      <alignment vertical="center"/>
    </xf>
    <xf numFmtId="9" fontId="94" fillId="0" borderId="0" applyAlignment="1">
      <alignment vertical="center"/>
    </xf>
    <xf numFmtId="9" fontId="55" fillId="0" borderId="0" applyAlignment="1">
      <alignment vertical="center"/>
    </xf>
    <xf numFmtId="9" fontId="86" fillId="0" borderId="0" applyAlignment="1">
      <alignment vertical="center"/>
    </xf>
    <xf numFmtId="9" fontId="54"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85" fillId="0" borderId="0"/>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54" fillId="0" borderId="0" applyAlignment="1">
      <alignment vertical="center"/>
    </xf>
    <xf numFmtId="9" fontId="7" fillId="0" borderId="0" applyAlignment="1">
      <alignment vertical="center"/>
    </xf>
    <xf numFmtId="9" fontId="86" fillId="0" borderId="0" applyAlignment="1">
      <alignment vertical="center"/>
    </xf>
    <xf numFmtId="9" fontId="55" fillId="0" borderId="0" applyAlignment="1">
      <alignment vertical="center"/>
    </xf>
    <xf numFmtId="9" fontId="85" fillId="0" borderId="0"/>
    <xf numFmtId="9" fontId="55" fillId="0" borderId="0" applyAlignment="1">
      <alignment vertical="center"/>
    </xf>
    <xf numFmtId="9" fontId="55" fillId="0" borderId="0" applyAlignment="1">
      <alignment vertical="center"/>
    </xf>
    <xf numFmtId="9" fontId="7" fillId="0" borderId="0" applyAlignment="1">
      <alignment vertical="center"/>
    </xf>
    <xf numFmtId="9" fontId="86" fillId="0" borderId="0" applyAlignment="1">
      <alignment vertical="center"/>
    </xf>
    <xf numFmtId="9" fontId="55"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85" fillId="0" borderId="0"/>
    <xf numFmtId="9" fontId="2" fillId="0" borderId="0" applyAlignment="1">
      <alignment vertical="center"/>
    </xf>
    <xf numFmtId="9" fontId="86"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55" fillId="0" borderId="0" applyAlignment="1">
      <alignment vertical="center"/>
    </xf>
    <xf numFmtId="9" fontId="54"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55"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54"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86" fillId="0" borderId="0" applyAlignment="1">
      <alignment vertical="center"/>
    </xf>
    <xf numFmtId="9" fontId="85"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95"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54"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86"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54" fillId="0" borderId="0"/>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92" fillId="0" borderId="0" applyAlignment="1">
      <alignment vertical="center"/>
    </xf>
    <xf numFmtId="9" fontId="92" fillId="0" borderId="0" applyAlignment="1">
      <alignment vertical="center"/>
    </xf>
    <xf numFmtId="9" fontId="92" fillId="0" borderId="0"/>
    <xf numFmtId="9" fontId="55" fillId="0" borderId="0" applyAlignment="1">
      <alignment vertical="center"/>
    </xf>
    <xf numFmtId="9" fontId="86" fillId="0" borderId="0"/>
    <xf numFmtId="9" fontId="86" fillId="0" borderId="0" applyAlignment="1">
      <alignment vertical="center"/>
    </xf>
    <xf numFmtId="9" fontId="86" fillId="0" borderId="0"/>
    <xf numFmtId="186" fontId="96" fillId="0" borderId="19" applyAlignment="1">
      <alignment vertical="center"/>
    </xf>
    <xf numFmtId="186" fontId="96" fillId="0" borderId="19" applyAlignment="1">
      <alignment vertical="center"/>
    </xf>
    <xf numFmtId="186" fontId="96" fillId="0" borderId="19" applyAlignment="1">
      <alignment vertical="center"/>
    </xf>
    <xf numFmtId="186" fontId="97" fillId="0" borderId="20" applyAlignment="1">
      <alignment vertical="center"/>
    </xf>
    <xf numFmtId="186" fontId="97" fillId="0" borderId="20" applyAlignment="1">
      <alignment vertical="center"/>
    </xf>
    <xf numFmtId="186" fontId="97" fillId="0" borderId="20" applyAlignment="1">
      <alignment vertical="center"/>
    </xf>
    <xf numFmtId="186" fontId="98" fillId="0" borderId="21" applyAlignment="1">
      <alignment vertical="center"/>
    </xf>
    <xf numFmtId="186" fontId="98" fillId="0" borderId="21" applyAlignment="1">
      <alignment vertical="center"/>
    </xf>
    <xf numFmtId="186" fontId="98" fillId="0" borderId="21" applyAlignment="1">
      <alignment vertical="center"/>
    </xf>
    <xf numFmtId="186" fontId="98" fillId="0" borderId="0" applyAlignment="1">
      <alignment vertical="center"/>
    </xf>
    <xf numFmtId="186" fontId="98" fillId="0" borderId="0" applyAlignment="1">
      <alignment vertical="center"/>
    </xf>
    <xf numFmtId="186" fontId="98" fillId="0" borderId="0" applyAlignment="1">
      <alignment vertical="center"/>
    </xf>
    <xf numFmtId="186" fontId="99" fillId="0" borderId="0" applyAlignment="1">
      <alignment vertical="center"/>
    </xf>
    <xf numFmtId="186" fontId="100" fillId="0" borderId="0" applyAlignment="1">
      <alignment vertical="center"/>
    </xf>
    <xf numFmtId="186" fontId="100" fillId="0" borderId="0" applyAlignment="1">
      <alignment vertical="center"/>
    </xf>
    <xf numFmtId="186" fontId="101" fillId="0" borderId="0" applyAlignment="1">
      <alignment vertical="center"/>
    </xf>
    <xf numFmtId="186" fontId="100" fillId="0" borderId="0" applyAlignment="1">
      <alignment vertical="center"/>
    </xf>
    <xf numFmtId="186" fontId="102" fillId="64" borderId="0" applyAlignment="1">
      <alignment vertical="center"/>
    </xf>
    <xf numFmtId="186" fontId="102" fillId="64" borderId="0" applyAlignment="1">
      <alignment vertical="center"/>
    </xf>
    <xf numFmtId="186" fontId="102" fillId="64"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94" fillId="0" borderId="0"/>
    <xf numFmtId="186" fontId="93" fillId="0" borderId="0"/>
    <xf numFmtId="186" fontId="2" fillId="0" borderId="0" applyAlignment="1">
      <alignment vertical="center"/>
    </xf>
    <xf numFmtId="186" fontId="2" fillId="0" borderId="0" applyAlignment="1">
      <alignment vertical="center"/>
    </xf>
    <xf numFmtId="186" fontId="40" fillId="0" borderId="0"/>
    <xf numFmtId="186" fontId="2" fillId="0" borderId="0" applyAlignment="1">
      <alignment vertical="center"/>
    </xf>
    <xf numFmtId="186" fontId="86"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3"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103"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4"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4"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95"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40" fillId="0" borderId="0"/>
    <xf numFmtId="186" fontId="40" fillId="0" borderId="0"/>
    <xf numFmtId="186" fontId="2" fillId="0" borderId="0" applyAlignment="1">
      <alignment vertical="center"/>
    </xf>
    <xf numFmtId="186" fontId="7" fillId="0" borderId="0" applyAlignment="1" applyProtection="1">
      <alignment vertical="center"/>
      <protection locked="0" hidden="0"/>
    </xf>
    <xf numFmtId="186" fontId="104" fillId="0" borderId="0"/>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0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05" fillId="0" borderId="0"/>
    <xf numFmtId="186" fontId="2"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55" fillId="0" borderId="0"/>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40" fillId="0" borderId="0" applyAlignment="1">
      <alignment vertical="center"/>
    </xf>
    <xf numFmtId="186" fontId="7" fillId="0" borderId="0" applyAlignment="1">
      <alignment vertical="center"/>
    </xf>
    <xf numFmtId="186" fontId="93"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7" fillId="0" borderId="0"/>
    <xf numFmtId="186" fontId="106" fillId="0" borderId="0" applyAlignment="1">
      <alignment vertical="center"/>
    </xf>
    <xf numFmtId="186" fontId="55" fillId="0" borderId="0"/>
    <xf numFmtId="186" fontId="7" fillId="0" borderId="0"/>
    <xf numFmtId="186" fontId="7" fillId="0" borderId="0"/>
    <xf numFmtId="186" fontId="55" fillId="0" borderId="0"/>
    <xf numFmtId="186" fontId="7" fillId="0" borderId="0"/>
    <xf numFmtId="186" fontId="55" fillId="0" borderId="0"/>
    <xf numFmtId="186" fontId="2" fillId="0" borderId="0" applyAlignment="1">
      <alignment vertical="center"/>
    </xf>
    <xf numFmtId="186" fontId="55" fillId="0" borderId="0"/>
    <xf numFmtId="186" fontId="7" fillId="0" borderId="0"/>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107" fillId="0" borderId="0"/>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108"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7" fillId="0" borderId="0"/>
    <xf numFmtId="186" fontId="7" fillId="0" borderId="0"/>
    <xf numFmtId="186" fontId="7" fillId="0" borderId="0"/>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7"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85" fillId="0" borderId="0"/>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55" fillId="0" borderId="0"/>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8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8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8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40"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40"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40" fillId="0" borderId="0"/>
    <xf numFmtId="186" fontId="40" fillId="0" borderId="0" applyAlignment="1">
      <alignment vertical="center"/>
    </xf>
    <xf numFmtId="186" fontId="40" fillId="0" borderId="0"/>
    <xf numFmtId="186" fontId="85" fillId="0" borderId="0" applyAlignment="1">
      <alignment vertical="center"/>
    </xf>
    <xf numFmtId="186" fontId="40"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40"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40"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40" fillId="0" borderId="0"/>
    <xf numFmtId="186" fontId="7" fillId="0" borderId="0"/>
    <xf numFmtId="186" fontId="40" fillId="0" borderId="0" applyAlignment="1">
      <alignment vertical="center"/>
    </xf>
    <xf numFmtId="186" fontId="40" fillId="0" borderId="0"/>
    <xf numFmtId="186" fontId="40" fillId="0" borderId="0" applyAlignment="1">
      <alignment vertical="center"/>
    </xf>
    <xf numFmtId="186" fontId="7" fillId="0" borderId="0"/>
    <xf numFmtId="186" fontId="2" fillId="0" borderId="0" applyAlignment="1">
      <alignment vertical="center"/>
    </xf>
    <xf numFmtId="186" fontId="40" fillId="0" borderId="0"/>
    <xf numFmtId="186" fontId="40" fillId="0" borderId="0" applyAlignment="1">
      <alignment vertical="center"/>
    </xf>
    <xf numFmtId="186" fontId="7" fillId="0" borderId="0" applyAlignment="1">
      <alignment vertical="center"/>
    </xf>
    <xf numFmtId="186" fontId="55" fillId="0" borderId="0"/>
    <xf numFmtId="186" fontId="55" fillId="0" borderId="0"/>
    <xf numFmtId="186" fontId="7" fillId="0" borderId="0"/>
    <xf numFmtId="186" fontId="2" fillId="0" borderId="0" applyAlignment="1">
      <alignment vertical="center"/>
    </xf>
    <xf numFmtId="186" fontId="40" fillId="0" borderId="0" applyAlignment="1">
      <alignment vertical="center"/>
    </xf>
    <xf numFmtId="186" fontId="40" fillId="0" borderId="0" applyAlignment="1">
      <alignment vertical="center"/>
    </xf>
    <xf numFmtId="186" fontId="2" fillId="0" borderId="0" applyAlignment="1">
      <alignment vertical="center"/>
    </xf>
    <xf numFmtId="186" fontId="55" fillId="0" borderId="0"/>
    <xf numFmtId="186" fontId="7" fillId="0" borderId="0"/>
    <xf numFmtId="186" fontId="7" fillId="0" borderId="0"/>
    <xf numFmtId="186" fontId="40" fillId="0" borderId="0" applyAlignment="1">
      <alignment vertical="center"/>
    </xf>
    <xf numFmtId="186" fontId="7" fillId="0" borderId="0"/>
    <xf numFmtId="186" fontId="2" fillId="0" borderId="0" applyAlignment="1">
      <alignment vertical="center"/>
    </xf>
    <xf numFmtId="186" fontId="7" fillId="0" borderId="0"/>
    <xf numFmtId="186" fontId="2" fillId="0" borderId="0" applyAlignment="1">
      <alignment vertical="center"/>
    </xf>
    <xf numFmtId="186" fontId="7" fillId="0" borderId="0"/>
    <xf numFmtId="186" fontId="55" fillId="0" borderId="0"/>
    <xf numFmtId="186" fontId="7" fillId="0" borderId="0"/>
    <xf numFmtId="186" fontId="55" fillId="0" borderId="0"/>
    <xf numFmtId="186" fontId="55" fillId="0" borderId="0"/>
    <xf numFmtId="186" fontId="2" fillId="0" borderId="0" applyAlignment="1">
      <alignment vertical="center"/>
    </xf>
    <xf numFmtId="186" fontId="55" fillId="0" borderId="0"/>
    <xf numFmtId="186" fontId="7" fillId="0" borderId="0"/>
    <xf numFmtId="186" fontId="2" fillId="0" borderId="0" applyAlignment="1">
      <alignment vertical="center"/>
    </xf>
    <xf numFmtId="186" fontId="55" fillId="0" borderId="0"/>
    <xf numFmtId="186" fontId="85"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7" fillId="0" borderId="0"/>
    <xf numFmtId="186" fontId="2" fillId="0" borderId="0" applyAlignment="1">
      <alignment vertical="center"/>
    </xf>
    <xf numFmtId="186" fontId="2" fillId="0" borderId="0" applyAlignment="1">
      <alignment vertical="center"/>
    </xf>
    <xf numFmtId="186" fontId="108" fillId="0" borderId="0"/>
    <xf numFmtId="186" fontId="55" fillId="0" borderId="0"/>
    <xf numFmtId="186" fontId="2" fillId="0" borderId="0" applyAlignment="1">
      <alignment vertical="center"/>
    </xf>
    <xf numFmtId="186" fontId="2" fillId="0" borderId="0" applyAlignment="1">
      <alignment vertical="center"/>
    </xf>
    <xf numFmtId="186" fontId="7" fillId="0" borderId="0"/>
    <xf numFmtId="186" fontId="55" fillId="0" borderId="0"/>
    <xf numFmtId="186" fontId="2" fillId="0" borderId="0" applyAlignment="1">
      <alignment vertical="center"/>
    </xf>
    <xf numFmtId="186" fontId="2" fillId="0" borderId="0" applyAlignment="1">
      <alignment vertical="center"/>
    </xf>
    <xf numFmtId="186" fontId="7" fillId="0" borderId="0"/>
    <xf numFmtId="186" fontId="7" fillId="0" borderId="0"/>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40" fillId="0" borderId="0"/>
    <xf numFmtId="186" fontId="40" fillId="0" borderId="0" applyAlignment="1">
      <alignment vertical="center"/>
    </xf>
    <xf numFmtId="186" fontId="40" fillId="0" borderId="0"/>
    <xf numFmtId="186" fontId="40" fillId="0" borderId="0"/>
    <xf numFmtId="186" fontId="40" fillId="0" borderId="0"/>
    <xf numFmtId="186" fontId="40" fillId="0" borderId="0"/>
    <xf numFmtId="186" fontId="40" fillId="0" borderId="0" applyAlignment="1">
      <alignment vertical="center"/>
    </xf>
    <xf numFmtId="186" fontId="40" fillId="0" borderId="0" applyAlignment="1">
      <alignment vertical="center"/>
    </xf>
    <xf numFmtId="186" fontId="40" fillId="0" borderId="0" applyAlignment="1">
      <alignment vertical="center"/>
    </xf>
    <xf numFmtId="186" fontId="40" fillId="0" borderId="0" applyAlignment="1">
      <alignment vertical="center"/>
    </xf>
    <xf numFmtId="186" fontId="40"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55"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106"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5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106"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55"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xf numFmtId="186" fontId="7" fillId="0" borderId="0"/>
    <xf numFmtId="186" fontId="55" fillId="0" borderId="0"/>
    <xf numFmtId="186" fontId="55"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xf numFmtId="186" fontId="86"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06"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xf numFmtId="186" fontId="40" fillId="0" borderId="0" applyAlignment="1">
      <alignment vertical="center"/>
    </xf>
    <xf numFmtId="186" fontId="7" fillId="0" borderId="0"/>
    <xf numFmtId="186" fontId="94" fillId="0" borderId="0" applyAlignment="1">
      <alignment vertical="center"/>
    </xf>
    <xf numFmtId="186" fontId="40" fillId="0" borderId="0" applyAlignment="1">
      <alignment vertical="center"/>
    </xf>
    <xf numFmtId="186" fontId="40" fillId="0" borderId="0" applyAlignment="1">
      <alignment vertical="center"/>
    </xf>
    <xf numFmtId="186" fontId="7" fillId="0" borderId="0"/>
    <xf numFmtId="186" fontId="7" fillId="0" borderId="0"/>
    <xf numFmtId="186" fontId="55" fillId="0" borderId="0"/>
    <xf numFmtId="186" fontId="55" fillId="0" borderId="0"/>
    <xf numFmtId="186" fontId="7" fillId="0" borderId="0"/>
    <xf numFmtId="186" fontId="55" fillId="0" borderId="0"/>
    <xf numFmtId="186" fontId="40" fillId="0" borderId="0" applyAlignment="1">
      <alignment vertical="center"/>
    </xf>
    <xf numFmtId="186" fontId="7" fillId="0" borderId="0"/>
    <xf numFmtId="186" fontId="2" fillId="0" borderId="0" applyAlignment="1">
      <alignment vertical="center"/>
    </xf>
    <xf numFmtId="186" fontId="7" fillId="0" borderId="0"/>
    <xf numFmtId="186" fontId="40" fillId="0" borderId="0" applyAlignment="1">
      <alignment vertical="center"/>
    </xf>
    <xf numFmtId="186" fontId="2" fillId="0" borderId="0" applyAlignment="1">
      <alignment vertical="center"/>
    </xf>
    <xf numFmtId="186" fontId="55" fillId="0" borderId="0"/>
    <xf numFmtId="186" fontId="55" fillId="0" borderId="0"/>
    <xf numFmtId="186" fontId="2" fillId="0" borderId="0" applyAlignment="1">
      <alignment vertical="center"/>
    </xf>
    <xf numFmtId="186" fontId="55" fillId="0" borderId="0"/>
    <xf numFmtId="186" fontId="7" fillId="0" borderId="0"/>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40"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40"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93" fillId="0" borderId="0"/>
    <xf numFmtId="186" fontId="40" fillId="0" borderId="0"/>
    <xf numFmtId="186" fontId="40" fillId="0" borderId="0"/>
    <xf numFmtId="186" fontId="5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55" fillId="0" borderId="0"/>
    <xf numFmtId="186" fontId="40" fillId="0" borderId="0"/>
    <xf numFmtId="186" fontId="40" fillId="0" borderId="0"/>
    <xf numFmtId="186" fontId="55" fillId="0" borderId="0"/>
    <xf numFmtId="186" fontId="40" fillId="0" borderId="0"/>
    <xf numFmtId="186" fontId="40" fillId="0" borderId="0"/>
    <xf numFmtId="186" fontId="5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40" fillId="0" borderId="0"/>
    <xf numFmtId="186" fontId="40" fillId="0" borderId="0"/>
    <xf numFmtId="186" fontId="40" fillId="0" borderId="0"/>
    <xf numFmtId="186" fontId="40"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86"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40"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xf numFmtId="186" fontId="2"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3"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1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86" fillId="0" borderId="0" applyAlignment="1">
      <alignment vertical="center"/>
    </xf>
    <xf numFmtId="186" fontId="2" fillId="0" borderId="0" applyAlignment="1">
      <alignment vertical="center"/>
    </xf>
    <xf numFmtId="186" fontId="7" fillId="0" borderId="0"/>
    <xf numFmtId="186" fontId="109" fillId="0" borderId="0"/>
    <xf numFmtId="186" fontId="2" fillId="0" borderId="0" applyAlignment="1">
      <alignment vertical="center"/>
    </xf>
    <xf numFmtId="186" fontId="7" fillId="0" borderId="0"/>
    <xf numFmtId="186" fontId="7" fillId="0" borderId="0"/>
    <xf numFmtId="186" fontId="2" fillId="0" borderId="0" applyAlignment="1">
      <alignment vertical="center"/>
    </xf>
    <xf numFmtId="186" fontId="40"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7" fillId="0" borderId="0"/>
    <xf numFmtId="186" fontId="3" fillId="0" borderId="0" applyAlignment="1">
      <alignment vertical="center"/>
    </xf>
    <xf numFmtId="186" fontId="86" fillId="0" borderId="0" applyAlignment="1">
      <alignment vertical="center"/>
    </xf>
    <xf numFmtId="186" fontId="7" fillId="0" borderId="0"/>
    <xf numFmtId="186" fontId="3" fillId="0" borderId="0" applyAlignment="1">
      <alignment vertical="center"/>
    </xf>
    <xf numFmtId="186" fontId="7" fillId="0" borderId="0"/>
    <xf numFmtId="186" fontId="2" fillId="0" borderId="0" applyAlignment="1">
      <alignment vertical="center"/>
    </xf>
    <xf numFmtId="186" fontId="7" fillId="0" borderId="0" applyAlignment="1">
      <alignment vertical="center"/>
    </xf>
    <xf numFmtId="186" fontId="7" fillId="0" borderId="0"/>
    <xf numFmtId="186" fontId="94"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40" fillId="0" borderId="0"/>
    <xf numFmtId="186" fontId="7" fillId="0" borderId="0" applyAlignment="1">
      <alignment vertical="center"/>
    </xf>
    <xf numFmtId="186" fontId="40"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93"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40"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85" fillId="0" borderId="0"/>
    <xf numFmtId="186" fontId="2" fillId="0" borderId="0" applyAlignment="1">
      <alignment vertical="center"/>
    </xf>
    <xf numFmtId="186" fontId="40" fillId="0" borderId="0" applyAlignment="1">
      <alignment vertical="center"/>
    </xf>
    <xf numFmtId="186" fontId="2" fillId="0" borderId="0" applyAlignment="1">
      <alignment vertical="center"/>
    </xf>
    <xf numFmtId="186" fontId="7" fillId="0" borderId="0"/>
    <xf numFmtId="186" fontId="7"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xf numFmtId="186" fontId="2" fillId="0" borderId="0" applyAlignment="1">
      <alignment vertical="center"/>
    </xf>
    <xf numFmtId="186" fontId="2" fillId="0" borderId="0" applyAlignment="1">
      <alignment vertical="center"/>
    </xf>
    <xf numFmtId="186" fontId="86"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85"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110" fillId="0" borderId="0" applyProtection="1">
      <protection locked="0" hidden="0"/>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85"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85" fillId="0" borderId="0"/>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10" fillId="0" borderId="0" applyProtection="1">
      <protection locked="0" hidden="0"/>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8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5" fillId="0" borderId="0"/>
    <xf numFmtId="186" fontId="55" fillId="0" borderId="0"/>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111"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55" fillId="0" borderId="0"/>
    <xf numFmtId="186" fontId="7" fillId="0" borderId="0"/>
    <xf numFmtId="186" fontId="55" fillId="0" borderId="0"/>
    <xf numFmtId="186" fontId="55" fillId="0" borderId="0"/>
    <xf numFmtId="186" fontId="7" fillId="0" borderId="0"/>
    <xf numFmtId="186" fontId="7" fillId="0" borderId="0"/>
    <xf numFmtId="186" fontId="55" fillId="0" borderId="0"/>
    <xf numFmtId="186" fontId="55" fillId="0" borderId="0"/>
    <xf numFmtId="186" fontId="7" fillId="0" borderId="0"/>
    <xf numFmtId="186" fontId="7" fillId="0" borderId="0"/>
    <xf numFmtId="186" fontId="7"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55" fillId="0" borderId="0"/>
    <xf numFmtId="186" fontId="7"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55" fillId="0" borderId="0"/>
    <xf numFmtId="186" fontId="7" fillId="0" borderId="0"/>
    <xf numFmtId="186" fontId="55" fillId="0" borderId="0"/>
    <xf numFmtId="186" fontId="55" fillId="0" borderId="0"/>
    <xf numFmtId="186" fontId="7"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9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54" fillId="0" borderId="0" applyAlignment="1">
      <alignment vertical="center"/>
    </xf>
    <xf numFmtId="186" fontId="86" fillId="0" borderId="0" applyAlignment="1">
      <alignment vertical="center"/>
    </xf>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applyAlignment="1">
      <alignment vertical="center"/>
    </xf>
    <xf numFmtId="186" fontId="54" fillId="0" borderId="0" applyAlignment="1">
      <alignment vertical="center"/>
    </xf>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applyAlignment="1">
      <alignment vertical="center"/>
    </xf>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xf numFmtId="186" fontId="2" fillId="0" borderId="0" applyAlignment="1">
      <alignment vertical="center"/>
    </xf>
    <xf numFmtId="186" fontId="54"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54"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9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86" fillId="0" borderId="0" applyAlignment="1">
      <alignment vertical="center"/>
    </xf>
    <xf numFmtId="186" fontId="86" fillId="0" borderId="0" applyAlignment="1">
      <alignment vertical="center"/>
    </xf>
    <xf numFmtId="186" fontId="2" fillId="0" borderId="0" applyAlignment="1">
      <alignment vertical="center"/>
    </xf>
    <xf numFmtId="186" fontId="9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1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13"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4" fillId="0" borderId="0" applyAlignment="1">
      <alignment vertical="center"/>
    </xf>
    <xf numFmtId="186" fontId="7" fillId="0" borderId="0"/>
    <xf numFmtId="186" fontId="55" fillId="0" borderId="0"/>
    <xf numFmtId="186" fontId="55" fillId="0" borderId="0"/>
    <xf numFmtId="186" fontId="2" fillId="0" borderId="0" applyAlignment="1">
      <alignment vertical="center"/>
    </xf>
    <xf numFmtId="186" fontId="55" fillId="0" borderId="0"/>
    <xf numFmtId="186" fontId="7" fillId="0" borderId="0"/>
    <xf numFmtId="186" fontId="2" fillId="0" borderId="0" applyAlignment="1">
      <alignment vertical="center"/>
    </xf>
    <xf numFmtId="186" fontId="40" fillId="0" borderId="0"/>
    <xf numFmtId="186" fontId="9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54"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85" fillId="0" borderId="0"/>
    <xf numFmtId="186" fontId="85" fillId="0" borderId="0"/>
    <xf numFmtId="186" fontId="86" fillId="0" borderId="0" applyAlignment="1">
      <alignment vertical="center"/>
    </xf>
    <xf numFmtId="186" fontId="9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7"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40" fillId="0" borderId="0"/>
    <xf numFmtId="186" fontId="40" fillId="0" borderId="0"/>
    <xf numFmtId="186" fontId="40" fillId="0" borderId="0"/>
    <xf numFmtId="186" fontId="7" fillId="0" borderId="0"/>
    <xf numFmtId="186" fontId="7" fillId="0" borderId="0"/>
    <xf numFmtId="186" fontId="55" fillId="0" borderId="0"/>
    <xf numFmtId="186" fontId="55" fillId="0" borderId="0"/>
    <xf numFmtId="186" fontId="55" fillId="0" borderId="0"/>
    <xf numFmtId="186" fontId="7"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7" fillId="0" borderId="0" applyAlignment="1">
      <alignment vertical="center"/>
    </xf>
    <xf numFmtId="186" fontId="2"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11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11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11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55"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114" fillId="0" borderId="0" applyAlignment="1">
      <alignment vertical="center"/>
    </xf>
    <xf numFmtId="186" fontId="54"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7" fillId="0" borderId="0" applyAlignment="1">
      <alignment vertical="center"/>
    </xf>
    <xf numFmtId="186" fontId="54"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54"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pplyProtection="1">
      <alignment vertical="center"/>
      <protection locked="0" hidden="0"/>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54" fillId="0" borderId="0"/>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7" fillId="0" borderId="0" applyAlignment="1">
      <alignment vertical="center"/>
    </xf>
    <xf numFmtId="186" fontId="93" fillId="0" borderId="0"/>
    <xf numFmtId="186" fontId="115" fillId="0" borderId="0" applyAlignment="1">
      <alignment vertical="center"/>
    </xf>
    <xf numFmtId="186" fontId="115" fillId="0" borderId="0" applyAlignment="1">
      <alignment vertical="center"/>
    </xf>
    <xf numFmtId="186" fontId="116" fillId="0" borderId="0" applyAlignment="1">
      <alignment vertical="center"/>
    </xf>
    <xf numFmtId="186" fontId="117" fillId="0" borderId="0" applyAlignment="1">
      <alignment vertical="center"/>
    </xf>
    <xf numFmtId="186" fontId="117" fillId="0" borderId="0" applyAlignment="1">
      <alignment vertical="center"/>
    </xf>
    <xf numFmtId="186" fontId="117" fillId="0" borderId="0" applyAlignment="1">
      <alignment vertical="center"/>
    </xf>
    <xf numFmtId="186" fontId="115" fillId="0" borderId="0" applyAlignment="1" applyProtection="1">
      <alignment vertical="center"/>
      <protection locked="0" hidden="0"/>
    </xf>
    <xf numFmtId="186" fontId="115" fillId="0" borderId="0"/>
    <xf numFmtId="186" fontId="117" fillId="0" borderId="0" applyAlignment="1">
      <alignment vertical="center"/>
    </xf>
    <xf numFmtId="186" fontId="118" fillId="0" borderId="0"/>
    <xf numFmtId="186" fontId="115" fillId="0" borderId="0"/>
    <xf numFmtId="186" fontId="117" fillId="0" borderId="0"/>
    <xf numFmtId="186" fontId="119" fillId="58" borderId="0" applyAlignment="1">
      <alignment vertical="center"/>
    </xf>
    <xf numFmtId="186" fontId="119" fillId="58" borderId="0" applyAlignment="1">
      <alignment vertical="center"/>
    </xf>
    <xf numFmtId="186" fontId="119" fillId="58" borderId="0"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0" fillId="0" borderId="22"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1" fillId="60" borderId="9" applyAlignment="1">
      <alignment vertical="center"/>
    </xf>
    <xf numFmtId="186" fontId="122" fillId="65" borderId="23" applyAlignment="1">
      <alignment vertical="center"/>
    </xf>
    <xf numFmtId="186" fontId="122" fillId="65" borderId="23" applyAlignment="1">
      <alignment vertical="center"/>
    </xf>
    <xf numFmtId="186" fontId="122" fillId="65" borderId="23" applyAlignment="1">
      <alignment vertical="center"/>
    </xf>
    <xf numFmtId="186" fontId="123" fillId="0" borderId="0" applyAlignment="1">
      <alignment vertical="center"/>
    </xf>
    <xf numFmtId="186" fontId="123" fillId="0" borderId="0" applyAlignment="1">
      <alignment vertical="center"/>
    </xf>
    <xf numFmtId="186" fontId="123" fillId="0" borderId="0" applyAlignment="1">
      <alignment vertical="center"/>
    </xf>
    <xf numFmtId="186" fontId="124" fillId="0" borderId="0" applyAlignment="1">
      <alignment vertical="center"/>
    </xf>
    <xf numFmtId="186" fontId="124" fillId="0" borderId="0" applyAlignment="1">
      <alignment vertical="center"/>
    </xf>
    <xf numFmtId="186" fontId="124" fillId="0" borderId="0" applyAlignment="1">
      <alignment vertical="center"/>
    </xf>
    <xf numFmtId="186" fontId="125" fillId="0" borderId="24" applyAlignment="1">
      <alignment vertical="center"/>
    </xf>
    <xf numFmtId="186" fontId="125" fillId="0" borderId="24" applyAlignment="1">
      <alignment vertical="center"/>
    </xf>
    <xf numFmtId="186" fontId="125" fillId="0" borderId="24"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55"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86" fillId="0" borderId="0" applyAlignment="1">
      <alignment vertical="center"/>
    </xf>
    <xf numFmtId="43" fontId="92" fillId="0" borderId="0" applyAlignment="1">
      <alignment vertical="center"/>
    </xf>
    <xf numFmtId="43" fontId="92" fillId="0" borderId="0" applyAlignment="1">
      <alignment vertical="center"/>
    </xf>
    <xf numFmtId="43" fontId="86" fillId="0" borderId="0" applyAlignment="1">
      <alignment vertical="center"/>
    </xf>
    <xf numFmtId="43" fontId="86" fillId="0" borderId="0" applyAlignment="1">
      <alignment vertical="center"/>
    </xf>
    <xf numFmtId="43" fontId="86" fillId="0" borderId="0" applyAlignment="1">
      <alignment vertical="center"/>
    </xf>
    <xf numFmtId="43" fontId="86" fillId="0" borderId="0" applyAlignment="1">
      <alignment vertical="center"/>
    </xf>
    <xf numFmtId="43" fontId="85"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55"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55"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55"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189" fontId="107" fillId="0" borderId="0"/>
    <xf numFmtId="43" fontId="40"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40"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40"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85" fillId="0" borderId="0" applyAlignment="1">
      <alignment vertical="center"/>
    </xf>
    <xf numFmtId="43" fontId="85"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85"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5"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5"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5"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85" fillId="0" borderId="0" applyAlignment="1">
      <alignment vertical="center"/>
    </xf>
    <xf numFmtId="43" fontId="85"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2" fillId="0" borderId="0" applyAlignment="1">
      <alignment vertical="center"/>
    </xf>
    <xf numFmtId="43" fontId="85" fillId="0" borderId="0" applyAlignment="1">
      <alignment vertical="center"/>
    </xf>
    <xf numFmtId="43" fontId="86"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85" fillId="0" borderId="0" applyAlignment="1">
      <alignment vertical="center"/>
    </xf>
    <xf numFmtId="43" fontId="7" fillId="0" borderId="0" applyAlignment="1">
      <alignment vertical="center"/>
    </xf>
    <xf numFmtId="43" fontId="85" fillId="0" borderId="0" applyAlignment="1">
      <alignment vertical="center"/>
    </xf>
    <xf numFmtId="43" fontId="2" fillId="0" borderId="0" applyAlignment="1">
      <alignment vertical="center"/>
    </xf>
    <xf numFmtId="43" fontId="2" fillId="0" borderId="0" applyAlignment="1">
      <alignment vertical="center"/>
    </xf>
    <xf numFmtId="43" fontId="85"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7"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85" fillId="0" borderId="0" applyAlignment="1">
      <alignment vertical="center"/>
    </xf>
    <xf numFmtId="43" fontId="7" fillId="0" borderId="0" applyAlignment="1">
      <alignment vertical="center"/>
    </xf>
    <xf numFmtId="43" fontId="93"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55" fillId="0" borderId="0" applyAlignment="1">
      <alignment vertical="center"/>
    </xf>
    <xf numFmtId="43" fontId="86"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86" fillId="0" borderId="0" applyAlignment="1">
      <alignment vertical="center"/>
    </xf>
    <xf numFmtId="43" fontId="86"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86" fillId="0" borderId="0" applyAlignment="1">
      <alignment vertical="center"/>
    </xf>
    <xf numFmtId="43" fontId="86" fillId="0" borderId="0" applyAlignment="1">
      <alignment vertical="center"/>
    </xf>
    <xf numFmtId="43" fontId="40" fillId="0" borderId="0"/>
    <xf numFmtId="43" fontId="40" fillId="0" borderId="0"/>
    <xf numFmtId="43" fontId="40" fillId="0" borderId="0"/>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54"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54"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86" fillId="0" borderId="0" applyAlignment="1">
      <alignment vertical="center"/>
    </xf>
    <xf numFmtId="43" fontId="55" fillId="0" borderId="0" applyAlignment="1">
      <alignment vertical="center"/>
    </xf>
    <xf numFmtId="43" fontId="54"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54"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55" fillId="0" borderId="0"/>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103"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54"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54"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55" fillId="0" borderId="0"/>
    <xf numFmtId="43" fontId="54" fillId="0" borderId="0"/>
    <xf numFmtId="43" fontId="54" fillId="0" borderId="0"/>
    <xf numFmtId="43" fontId="54" fillId="0" borderId="0"/>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95"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55"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95"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54"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86" fillId="0" borderId="0" applyAlignment="1">
      <alignment vertical="center"/>
    </xf>
    <xf numFmtId="43" fontId="2" fillId="0" borderId="0" applyAlignment="1">
      <alignment vertical="center"/>
    </xf>
    <xf numFmtId="43" fontId="7" fillId="0" borderId="0" applyAlignment="1">
      <alignment vertical="center"/>
    </xf>
    <xf numFmtId="43" fontId="55"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7" fillId="0" borderId="0" applyAlignment="1">
      <alignment vertical="center"/>
    </xf>
    <xf numFmtId="43" fontId="7" fillId="0" borderId="0" applyAlignment="1">
      <alignment vertical="center"/>
    </xf>
    <xf numFmtId="43" fontId="2" fillId="0" borderId="0" applyAlignment="1">
      <alignment vertical="center"/>
    </xf>
    <xf numFmtId="43" fontId="55" fillId="0" borderId="0" applyAlignment="1">
      <alignment vertical="center"/>
    </xf>
    <xf numFmtId="43" fontId="7"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86" fillId="0" borderId="0" applyAlignment="1">
      <alignment vertical="center"/>
    </xf>
    <xf numFmtId="43" fontId="92" fillId="0" borderId="0" applyAlignment="1">
      <alignment vertical="center"/>
    </xf>
    <xf numFmtId="43" fontId="92" fillId="0" borderId="0" applyAlignment="1">
      <alignment vertical="center"/>
    </xf>
    <xf numFmtId="43" fontId="86" fillId="0" borderId="0" applyAlignment="1">
      <alignment vertical="center"/>
    </xf>
    <xf numFmtId="43" fontId="55" fillId="0" borderId="0" applyAlignment="1">
      <alignment vertical="center"/>
    </xf>
    <xf numFmtId="43" fontId="7" fillId="0" borderId="0" applyAlignment="1">
      <alignment vertical="center"/>
    </xf>
    <xf numFmtId="43" fontId="7" fillId="0" borderId="0" applyAlignment="1">
      <alignment vertical="center"/>
    </xf>
    <xf numFmtId="43" fontId="55" fillId="0" borderId="0" applyAlignment="1">
      <alignment vertical="center"/>
    </xf>
    <xf numFmtId="43" fontId="55" fillId="0" borderId="0" applyAlignment="1">
      <alignment vertical="center"/>
    </xf>
    <xf numFmtId="43" fontId="86" fillId="0" borderId="0" applyAlignment="1">
      <alignment vertical="center"/>
    </xf>
    <xf numFmtId="43" fontId="92" fillId="0" borderId="0" applyAlignment="1">
      <alignment vertical="center"/>
    </xf>
    <xf numFmtId="43" fontId="92" fillId="0" borderId="0" applyAlignment="1">
      <alignment vertical="center"/>
    </xf>
    <xf numFmtId="43" fontId="86" fillId="0" borderId="0" applyAlignment="1">
      <alignment vertical="center"/>
    </xf>
    <xf numFmtId="190" fontId="105" fillId="0" borderId="0"/>
    <xf numFmtId="190" fontId="104" fillId="0" borderId="0"/>
    <xf numFmtId="186" fontId="87" fillId="62" borderId="0" applyAlignment="1">
      <alignment vertical="center"/>
    </xf>
    <xf numFmtId="186" fontId="87" fillId="66" borderId="0" applyAlignment="1">
      <alignment vertical="center"/>
    </xf>
    <xf numFmtId="186" fontId="87" fillId="65" borderId="0" applyAlignment="1">
      <alignment vertical="center"/>
    </xf>
    <xf numFmtId="186" fontId="87" fillId="67" borderId="0" applyAlignment="1">
      <alignment vertical="center"/>
    </xf>
    <xf numFmtId="186" fontId="87" fillId="68" borderId="0" applyAlignment="1">
      <alignment vertical="center"/>
    </xf>
    <xf numFmtId="186" fontId="87" fillId="63" borderId="0" applyAlignment="1">
      <alignment vertical="center"/>
    </xf>
    <xf numFmtId="186" fontId="126" fillId="61" borderId="0" applyAlignment="1">
      <alignment vertical="center"/>
    </xf>
    <xf numFmtId="186" fontId="126" fillId="61" borderId="0" applyAlignment="1">
      <alignment vertical="center"/>
    </xf>
    <xf numFmtId="186" fontId="126" fillId="61" borderId="0"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7" fillId="60" borderId="25"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128" fillId="55" borderId="9" applyAlignment="1">
      <alignment vertical="center"/>
    </xf>
    <xf numFmtId="186" fontId="40" fillId="0" borderId="0" applyAlignment="1">
      <alignment horizontal="left" wrapText="1"/>
    </xf>
    <xf numFmtId="186" fontId="129" fillId="0" borderId="0"/>
    <xf numFmtId="186" fontId="129" fillId="0" borderId="0"/>
    <xf numFmtId="186" fontId="87" fillId="62" borderId="0" applyAlignment="1">
      <alignment vertical="center"/>
    </xf>
    <xf numFmtId="186" fontId="87" fillId="62" borderId="0" applyAlignment="1">
      <alignment vertical="center"/>
    </xf>
    <xf numFmtId="186" fontId="87" fillId="62" borderId="0" applyAlignment="1">
      <alignment vertical="center"/>
    </xf>
    <xf numFmtId="186" fontId="87" fillId="66" borderId="0" applyAlignment="1">
      <alignment vertical="center"/>
    </xf>
    <xf numFmtId="186" fontId="87" fillId="66" borderId="0" applyAlignment="1">
      <alignment vertical="center"/>
    </xf>
    <xf numFmtId="186" fontId="87" fillId="66" borderId="0" applyAlignment="1">
      <alignment vertical="center"/>
    </xf>
    <xf numFmtId="186" fontId="87" fillId="65" borderId="0" applyAlignment="1">
      <alignment vertical="center"/>
    </xf>
    <xf numFmtId="186" fontId="87" fillId="65" borderId="0" applyAlignment="1">
      <alignment vertical="center"/>
    </xf>
    <xf numFmtId="186" fontId="87" fillId="65" borderId="0" applyAlignment="1">
      <alignment vertical="center"/>
    </xf>
    <xf numFmtId="186" fontId="87" fillId="67" borderId="0" applyAlignment="1">
      <alignment vertical="center"/>
    </xf>
    <xf numFmtId="186" fontId="87" fillId="67" borderId="0" applyAlignment="1">
      <alignment vertical="center"/>
    </xf>
    <xf numFmtId="186" fontId="87" fillId="67" borderId="0" applyAlignment="1">
      <alignment vertical="center"/>
    </xf>
    <xf numFmtId="186" fontId="87" fillId="68" borderId="0" applyAlignment="1">
      <alignment vertical="center"/>
    </xf>
    <xf numFmtId="186" fontId="87" fillId="68" borderId="0" applyAlignment="1">
      <alignment vertical="center"/>
    </xf>
    <xf numFmtId="186" fontId="87" fillId="68" borderId="0" applyAlignment="1">
      <alignment vertical="center"/>
    </xf>
    <xf numFmtId="186" fontId="87" fillId="63" borderId="0" applyAlignment="1">
      <alignment vertical="center"/>
    </xf>
    <xf numFmtId="186" fontId="87" fillId="63" borderId="0" applyAlignment="1">
      <alignment vertical="center"/>
    </xf>
    <xf numFmtId="186" fontId="87" fillId="63" borderId="0"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85" fillId="56" borderId="26"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2" fillId="29" borderId="17" applyAlignment="1">
      <alignment vertical="center"/>
    </xf>
    <xf numFmtId="186" fontId="7" fillId="0" borderId="0" applyAlignment="1">
      <alignment vertical="center"/>
    </xf>
    <xf numFmtId="186" fontId="2" fillId="0" borderId="0" applyAlignment="1">
      <alignment vertical="center"/>
    </xf>
    <xf numFmtId="186" fontId="7" fillId="0" borderId="0"/>
    <xf numFmtId="186" fontId="7" fillId="0" borderId="0"/>
    <xf numFmtId="186" fontId="2" fillId="31" borderId="0" applyAlignment="1">
      <alignment vertical="center"/>
    </xf>
    <xf numFmtId="186" fontId="2" fillId="35" borderId="0" applyAlignment="1">
      <alignment vertical="center"/>
    </xf>
    <xf numFmtId="186" fontId="2" fillId="39" borderId="0" applyAlignment="1">
      <alignment vertical="center"/>
    </xf>
    <xf numFmtId="186" fontId="2" fillId="43" borderId="0" applyAlignment="1">
      <alignment vertical="center"/>
    </xf>
    <xf numFmtId="186" fontId="2" fillId="47" borderId="0" applyAlignment="1">
      <alignment vertical="center"/>
    </xf>
    <xf numFmtId="186" fontId="2" fillId="51" borderId="0" applyAlignment="1">
      <alignment vertical="center"/>
    </xf>
    <xf numFmtId="186" fontId="2" fillId="32" borderId="0" applyAlignment="1">
      <alignment vertical="center"/>
    </xf>
    <xf numFmtId="186" fontId="2" fillId="36" borderId="0" applyAlignment="1">
      <alignment vertical="center"/>
    </xf>
    <xf numFmtId="186" fontId="2" fillId="40" borderId="0" applyAlignment="1">
      <alignment vertical="center"/>
    </xf>
    <xf numFmtId="186" fontId="2" fillId="44" borderId="0" applyAlignment="1">
      <alignment vertical="center"/>
    </xf>
    <xf numFmtId="186" fontId="2" fillId="48" borderId="0" applyAlignment="1">
      <alignment vertical="center"/>
    </xf>
    <xf numFmtId="186" fontId="2" fillId="52" borderId="0" applyAlignment="1">
      <alignment vertical="center"/>
    </xf>
    <xf numFmtId="186" fontId="81" fillId="33" borderId="0" applyAlignment="1">
      <alignment vertical="center"/>
    </xf>
    <xf numFmtId="186" fontId="81" fillId="37" borderId="0" applyAlignment="1">
      <alignment vertical="center"/>
    </xf>
    <xf numFmtId="186" fontId="81" fillId="41" borderId="0" applyAlignment="1">
      <alignment vertical="center"/>
    </xf>
    <xf numFmtId="186" fontId="81" fillId="45" borderId="0" applyAlignment="1">
      <alignment vertical="center"/>
    </xf>
    <xf numFmtId="186" fontId="81" fillId="49" borderId="0" applyAlignment="1">
      <alignment vertical="center"/>
    </xf>
    <xf numFmtId="186" fontId="81" fillId="53" borderId="0" applyAlignment="1">
      <alignment vertical="center"/>
    </xf>
    <xf numFmtId="186" fontId="2" fillId="0" borderId="0" applyAlignment="1">
      <alignment vertical="center"/>
    </xf>
    <xf numFmtId="186" fontId="54" fillId="0" borderId="0" applyAlignment="1">
      <alignment vertical="center"/>
    </xf>
    <xf numFmtId="186" fontId="54"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4"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9" fillId="0" borderId="0" applyProtection="1">
      <protection locked="0" hidden="0"/>
    </xf>
    <xf numFmtId="186" fontId="2"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xf numFmtId="186" fontId="2" fillId="0" borderId="0"/>
    <xf numFmtId="186" fontId="91" fillId="0" borderId="0" applyAlignment="1">
      <alignment vertical="center"/>
    </xf>
    <xf numFmtId="186" fontId="2" fillId="0" borderId="0"/>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186" fontId="2" fillId="0" borderId="0" applyAlignment="1">
      <alignment wrapText="1"/>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7" fillId="0" borderId="0" applyAlignment="1">
      <alignment vertical="center"/>
    </xf>
    <xf numFmtId="9" fontId="7"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86"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9" fontId="2" fillId="0" borderId="0" applyAlignment="1">
      <alignment vertical="center"/>
    </xf>
    <xf numFmtId="186" fontId="68" fillId="0" borderId="10" applyAlignment="1">
      <alignment vertical="center"/>
    </xf>
    <xf numFmtId="186" fontId="69" fillId="0" borderId="11" applyAlignment="1">
      <alignment vertical="center"/>
    </xf>
    <xf numFmtId="186" fontId="70" fillId="0" borderId="12" applyAlignment="1">
      <alignment vertical="center"/>
    </xf>
    <xf numFmtId="186" fontId="70" fillId="0" borderId="0" applyAlignment="1">
      <alignment vertical="center"/>
    </xf>
    <xf numFmtId="186" fontId="83" fillId="0" borderId="0" applyAlignment="1">
      <alignment vertical="center"/>
    </xf>
    <xf numFmtId="186" fontId="72" fillId="24"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40" fillId="0" borderId="0" applyAlignment="1">
      <alignment vertical="center"/>
    </xf>
    <xf numFmtId="186" fontId="40" fillId="0" borderId="0" applyAlignment="1">
      <alignment vertical="center"/>
    </xf>
    <xf numFmtId="186" fontId="40" fillId="0" borderId="0" applyAlignment="1">
      <alignment vertical="center"/>
    </xf>
    <xf numFmtId="186" fontId="40"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85"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40" fillId="0" borderId="0"/>
    <xf numFmtId="186" fontId="86"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7"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5" fillId="0" borderId="0"/>
    <xf numFmtId="186" fontId="2" fillId="0" borderId="0" applyAlignment="1">
      <alignment vertical="center"/>
    </xf>
    <xf numFmtId="186" fontId="7"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pplyProtection="1">
      <alignment vertical="center"/>
      <protection locked="0" hidden="0"/>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130" fillId="0" borderId="0" applyAlignment="1">
      <alignment vertical="center"/>
    </xf>
    <xf numFmtId="186" fontId="2" fillId="0" borderId="0" applyAlignment="1">
      <alignment vertical="center"/>
    </xf>
    <xf numFmtId="186" fontId="7"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 fillId="0" borderId="0"/>
    <xf numFmtId="186" fontId="7" fillId="0" borderId="0" applyAlignment="1">
      <alignment vertical="center"/>
    </xf>
    <xf numFmtId="186" fontId="7" fillId="0" borderId="0" applyAlignment="1" applyProtection="1">
      <alignment vertical="center"/>
      <protection locked="0" hidden="0"/>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55" fillId="0" borderId="0"/>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86"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2" fillId="0" borderId="0" applyAlignment="1">
      <alignment vertical="center"/>
    </xf>
    <xf numFmtId="186" fontId="71" fillId="23" borderId="0" applyAlignment="1">
      <alignment vertical="center"/>
    </xf>
    <xf numFmtId="186" fontId="80" fillId="0" borderId="18" applyAlignment="1">
      <alignment vertical="center"/>
    </xf>
    <xf numFmtId="186" fontId="75" fillId="27" borderId="13" applyAlignment="1">
      <alignment vertical="center"/>
    </xf>
    <xf numFmtId="186" fontId="77" fillId="28" borderId="16" applyAlignment="1">
      <alignment vertical="center"/>
    </xf>
    <xf numFmtId="186" fontId="79" fillId="0" borderId="0" applyAlignment="1">
      <alignment vertical="center"/>
    </xf>
    <xf numFmtId="186" fontId="78" fillId="0" borderId="0" applyAlignment="1">
      <alignment vertical="center"/>
    </xf>
    <xf numFmtId="186" fontId="76" fillId="0" borderId="15"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55"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54" fillId="0" borderId="0" applyAlignment="1">
      <alignment vertical="center"/>
    </xf>
    <xf numFmtId="43" fontId="2" fillId="0" borderId="0" applyAlignment="1">
      <alignment vertical="center"/>
    </xf>
    <xf numFmtId="43" fontId="7"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86"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43" fontId="2" fillId="0" borderId="0" applyAlignment="1">
      <alignment vertical="center"/>
    </xf>
    <xf numFmtId="186" fontId="81" fillId="30" borderId="0" applyAlignment="1">
      <alignment vertical="center"/>
    </xf>
    <xf numFmtId="186" fontId="81" fillId="34" borderId="0" applyAlignment="1">
      <alignment vertical="center"/>
    </xf>
    <xf numFmtId="186" fontId="81" fillId="38" borderId="0" applyAlignment="1">
      <alignment vertical="center"/>
    </xf>
    <xf numFmtId="186" fontId="81" fillId="42" borderId="0" applyAlignment="1">
      <alignment vertical="center"/>
    </xf>
    <xf numFmtId="186" fontId="81" fillId="46" borderId="0" applyAlignment="1">
      <alignment vertical="center"/>
    </xf>
    <xf numFmtId="186" fontId="81" fillId="50" borderId="0" applyAlignment="1">
      <alignment vertical="center"/>
    </xf>
    <xf numFmtId="186" fontId="84" fillId="25" borderId="0" applyAlignment="1">
      <alignment vertical="center"/>
    </xf>
    <xf numFmtId="186" fontId="74" fillId="27" borderId="14" applyAlignment="1">
      <alignment vertical="center"/>
    </xf>
    <xf numFmtId="186" fontId="73" fillId="26" borderId="13" applyAlignment="1">
      <alignment vertical="center"/>
    </xf>
    <xf numFmtId="186" fontId="55" fillId="0" borderId="0"/>
    <xf numFmtId="0" fontId="40" fillId="0" borderId="0"/>
    <xf numFmtId="0" fontId="55" fillId="0" borderId="0"/>
  </cellStyleXfs>
  <cellXfs count="768">
    <xf numFmtId="0" fontId="0" fillId="0" borderId="0" applyAlignment="1" pivotButton="0" quotePrefix="0" xfId="0">
      <alignment vertical="center"/>
    </xf>
    <xf numFmtId="14" fontId="0" fillId="0" borderId="0" applyAlignment="1" pivotButton="0" quotePrefix="0" xfId="0">
      <alignment vertical="center"/>
    </xf>
    <xf numFmtId="164" fontId="0" fillId="0" borderId="0" applyAlignment="1" pivotButton="0" quotePrefix="0" xfId="1">
      <alignment vertical="center"/>
    </xf>
    <xf numFmtId="165" fontId="0" fillId="0" borderId="0" applyAlignment="1" pivotButton="0" quotePrefix="0" xfId="1">
      <alignment vertical="center"/>
    </xf>
    <xf numFmtId="14" fontId="0" fillId="0" borderId="0" applyAlignment="1" pivotButton="0" quotePrefix="0" xfId="0">
      <alignment horizontal="center" vertical="center"/>
    </xf>
    <xf numFmtId="164" fontId="0" fillId="0" borderId="1" applyAlignment="1" pivotButton="0" quotePrefix="0" xfId="1">
      <alignment vertical="center" wrapText="1"/>
    </xf>
    <xf numFmtId="164" fontId="0" fillId="0" borderId="1" applyAlignment="1" pivotButton="0" quotePrefix="0" xfId="1">
      <alignment vertical="center"/>
    </xf>
    <xf numFmtId="166" fontId="0" fillId="0" borderId="1" applyAlignment="1" pivotButton="0" quotePrefix="0" xfId="1">
      <alignment vertical="center" wrapText="1"/>
    </xf>
    <xf numFmtId="166" fontId="0" fillId="0" borderId="1" applyAlignment="1" pivotButton="0" quotePrefix="0" xfId="1">
      <alignment vertical="center"/>
    </xf>
    <xf numFmtId="166" fontId="0" fillId="0" borderId="0" applyAlignment="1" pivotButton="0" quotePrefix="0" xfId="1">
      <alignment vertical="center"/>
    </xf>
    <xf numFmtId="0" fontId="0" fillId="0" borderId="0" applyAlignment="1" pivotButton="0" quotePrefix="0" xfId="0">
      <alignment vertical="center" wrapText="1"/>
    </xf>
    <xf numFmtId="0" fontId="8" fillId="0" borderId="0" applyAlignment="1" pivotButton="0" quotePrefix="0" xfId="2">
      <alignment vertical="center"/>
    </xf>
    <xf numFmtId="14" fontId="5" fillId="3" borderId="2" applyAlignment="1" pivotButton="0" quotePrefix="0" xfId="2">
      <alignment horizontal="center" vertical="center" wrapText="1"/>
    </xf>
    <xf numFmtId="14" fontId="5" fillId="4" borderId="2" applyAlignment="1" pivotButton="0" quotePrefix="0" xfId="2">
      <alignment horizontal="center" vertical="center" wrapText="1"/>
    </xf>
    <xf numFmtId="0" fontId="8" fillId="4" borderId="0" applyAlignment="1" pivotButton="0" quotePrefix="0" xfId="2">
      <alignment vertical="center"/>
    </xf>
    <xf numFmtId="0" fontId="9" fillId="0" borderId="0" pivotButton="0" quotePrefix="0" xfId="2"/>
    <xf numFmtId="0" fontId="3" fillId="5" borderId="2" applyAlignment="1" pivotButton="0" quotePrefix="0" xfId="2">
      <alignment horizontal="center" vertical="center"/>
    </xf>
    <xf numFmtId="14" fontId="3" fillId="5" borderId="2" applyAlignment="1" pivotButton="0" quotePrefix="0" xfId="3">
      <alignment horizontal="center" vertical="center"/>
    </xf>
    <xf numFmtId="10" fontId="3" fillId="5" borderId="2" applyAlignment="1" pivotButton="0" quotePrefix="0" xfId="3">
      <alignment horizontal="center" vertical="center"/>
    </xf>
    <xf numFmtId="0" fontId="3" fillId="0" borderId="2" pivotButton="0" quotePrefix="0" xfId="2"/>
    <xf numFmtId="164" fontId="3" fillId="5" borderId="2" applyAlignment="1" pivotButton="0" quotePrefix="0" xfId="3">
      <alignment horizontal="center" vertical="center"/>
    </xf>
    <xf numFmtId="0" fontId="3" fillId="0" borderId="2" applyAlignment="1" pivotButton="0" quotePrefix="0" xfId="2">
      <alignment horizontal="center" vertical="center"/>
    </xf>
    <xf numFmtId="167" fontId="3" fillId="0" borderId="2" applyAlignment="1" pivotButton="0" quotePrefix="0" xfId="3">
      <alignment horizontal="center" vertical="center"/>
    </xf>
    <xf numFmtId="164" fontId="3" fillId="0" borderId="2" pivotButton="0" quotePrefix="0" xfId="2"/>
    <xf numFmtId="0" fontId="3" fillId="0" borderId="0" pivotButton="0" quotePrefix="0" xfId="2"/>
    <xf numFmtId="164" fontId="9" fillId="0" borderId="0" pivotButton="0" quotePrefix="0" xfId="3"/>
    <xf numFmtId="14" fontId="9" fillId="0" borderId="0" pivotButton="0" quotePrefix="0" xfId="2"/>
    <xf numFmtId="10" fontId="9" fillId="0" borderId="0" pivotButton="0" quotePrefix="0" xfId="2"/>
    <xf numFmtId="0" fontId="3" fillId="6" borderId="2" applyAlignment="1" pivotButton="0" quotePrefix="0" xfId="2">
      <alignment horizontal="center" vertical="center"/>
    </xf>
    <xf numFmtId="0" fontId="9" fillId="2" borderId="0" pivotButton="0" quotePrefix="0" xfId="2"/>
    <xf numFmtId="0" fontId="3" fillId="2" borderId="2" applyAlignment="1" pivotButton="0" quotePrefix="0" xfId="2">
      <alignment horizontal="center" vertical="center"/>
    </xf>
    <xf numFmtId="14" fontId="3" fillId="2" borderId="2" applyAlignment="1" pivotButton="0" quotePrefix="0" xfId="3">
      <alignment horizontal="center" vertical="center"/>
    </xf>
    <xf numFmtId="10" fontId="3" fillId="2" borderId="2" applyAlignment="1" pivotButton="0" quotePrefix="0" xfId="3">
      <alignment horizontal="center" vertical="center"/>
    </xf>
    <xf numFmtId="0" fontId="3" fillId="2" borderId="2" pivotButton="0" quotePrefix="0" xfId="2"/>
    <xf numFmtId="164" fontId="3" fillId="2" borderId="2" applyAlignment="1" pivotButton="0" quotePrefix="0" xfId="3">
      <alignment horizontal="center" vertical="center"/>
    </xf>
    <xf numFmtId="167" fontId="3" fillId="2" borderId="2" applyAlignment="1" pivotButton="0" quotePrefix="0" xfId="3">
      <alignment horizontal="center" vertical="center"/>
    </xf>
    <xf numFmtId="164" fontId="3" fillId="2" borderId="2" pivotButton="0" quotePrefix="0" xfId="2"/>
    <xf numFmtId="0" fontId="3" fillId="2" borderId="0" pivotButton="0" quotePrefix="0" xfId="2"/>
    <xf numFmtId="14" fontId="9" fillId="2" borderId="0" pivotButton="0" quotePrefix="0" xfId="2"/>
    <xf numFmtId="164" fontId="9" fillId="2" borderId="0" pivotButton="0" quotePrefix="0" xfId="3"/>
    <xf numFmtId="9" fontId="9" fillId="2" borderId="0" pivotButton="0" quotePrefix="0" xfId="2"/>
    <xf numFmtId="10" fontId="9" fillId="2" borderId="0" pivotButton="0" quotePrefix="0" xfId="2"/>
    <xf numFmtId="0" fontId="3" fillId="7" borderId="2" applyAlignment="1" pivotButton="0" quotePrefix="0" xfId="2">
      <alignment horizontal="center" vertical="center"/>
    </xf>
    <xf numFmtId="0" fontId="11" fillId="0" borderId="0" pivotButton="0" quotePrefix="0" xfId="2"/>
    <xf numFmtId="164" fontId="9" fillId="0" borderId="0" pivotButton="0" quotePrefix="0" xfId="2"/>
    <xf numFmtId="58" fontId="9" fillId="0" borderId="0" pivotButton="0" quotePrefix="0" xfId="2"/>
    <xf numFmtId="9" fontId="3" fillId="0" borderId="2" pivotButton="0" quotePrefix="0" xfId="2"/>
    <xf numFmtId="14" fontId="3" fillId="6" borderId="2" applyAlignment="1" pivotButton="0" quotePrefix="0" xfId="3">
      <alignment horizontal="center" vertical="center"/>
    </xf>
    <xf numFmtId="10" fontId="3" fillId="6" borderId="2" applyAlignment="1" pivotButton="0" quotePrefix="0" xfId="3">
      <alignment horizontal="center" vertical="center"/>
    </xf>
    <xf numFmtId="10" fontId="3" fillId="6" borderId="2" pivotButton="0" quotePrefix="0" xfId="2"/>
    <xf numFmtId="14" fontId="3" fillId="6" borderId="0" applyAlignment="1" pivotButton="0" quotePrefix="0" xfId="2">
      <alignment horizontal="center" vertical="center"/>
    </xf>
    <xf numFmtId="164" fontId="3" fillId="6" borderId="2" applyAlignment="1" pivotButton="0" quotePrefix="0" xfId="3">
      <alignment horizontal="center" vertical="center"/>
    </xf>
    <xf numFmtId="167" fontId="3" fillId="6" borderId="2" applyAlignment="1" pivotButton="0" quotePrefix="0" xfId="3">
      <alignment horizontal="center" vertical="center"/>
    </xf>
    <xf numFmtId="164" fontId="4" fillId="5" borderId="2" applyAlignment="1" pivotButton="0" quotePrefix="0" xfId="3">
      <alignment horizontal="center" vertical="center"/>
    </xf>
    <xf numFmtId="164" fontId="3" fillId="0" borderId="0" pivotButton="0" quotePrefix="0" xfId="2"/>
    <xf numFmtId="10" fontId="9" fillId="0" borderId="0" pivotButton="0" quotePrefix="0" xfId="4"/>
    <xf numFmtId="168" fontId="9" fillId="0" borderId="0" pivotButton="0" quotePrefix="0" xfId="3"/>
    <xf numFmtId="167" fontId="9" fillId="0" borderId="0" pivotButton="0" quotePrefix="0" xfId="3"/>
    <xf numFmtId="58" fontId="9" fillId="0" borderId="0" pivotButton="0" quotePrefix="0" xfId="3"/>
    <xf numFmtId="10" fontId="3" fillId="0" borderId="2" pivotButton="0" quotePrefix="0" xfId="2"/>
    <xf numFmtId="165" fontId="9" fillId="0" borderId="0" pivotButton="0" quotePrefix="0" xfId="3"/>
    <xf numFmtId="0" fontId="3" fillId="6" borderId="0" pivotButton="0" quotePrefix="0" xfId="2"/>
    <xf numFmtId="0" fontId="9" fillId="6" borderId="0" pivotButton="0" quotePrefix="0" xfId="2"/>
    <xf numFmtId="164" fontId="9" fillId="6" borderId="0" pivotButton="0" quotePrefix="0" xfId="3"/>
    <xf numFmtId="0" fontId="7" fillId="0" borderId="0" applyAlignment="1" pivotButton="0" quotePrefix="0" xfId="2">
      <alignment vertical="center"/>
    </xf>
    <xf numFmtId="0" fontId="12" fillId="0" borderId="0" applyAlignment="1" pivotButton="0" quotePrefix="0" xfId="2">
      <alignment vertical="center"/>
    </xf>
    <xf numFmtId="58" fontId="7" fillId="0" borderId="0" applyAlignment="1" pivotButton="0" quotePrefix="0" xfId="2">
      <alignment vertical="center"/>
    </xf>
    <xf numFmtId="167" fontId="0" fillId="0" borderId="0" applyAlignment="1" pivotButton="0" quotePrefix="0" xfId="3">
      <alignment vertical="center"/>
    </xf>
    <xf numFmtId="0" fontId="3" fillId="0" borderId="0" applyAlignment="1" pivotButton="0" quotePrefix="0" xfId="2">
      <alignment horizontal="center" vertical="center"/>
    </xf>
    <xf numFmtId="0" fontId="3" fillId="0" borderId="0" applyAlignment="1" pivotButton="0" quotePrefix="0" xfId="2">
      <alignment vertical="center"/>
    </xf>
    <xf numFmtId="58" fontId="3" fillId="0" borderId="0" pivotButton="0" quotePrefix="0" xfId="2"/>
    <xf numFmtId="164" fontId="3" fillId="0" borderId="0" applyAlignment="1" pivotButton="0" quotePrefix="0" xfId="3">
      <alignment horizontal="center" vertical="center"/>
    </xf>
    <xf numFmtId="10" fontId="3" fillId="0" borderId="0" applyAlignment="1" pivotButton="0" quotePrefix="0" xfId="3">
      <alignment horizontal="center" vertical="center"/>
    </xf>
    <xf numFmtId="14" fontId="3" fillId="0" borderId="0" pivotButton="0" quotePrefix="0" xfId="2"/>
    <xf numFmtId="58" fontId="3" fillId="0" borderId="0" applyAlignment="1" pivotButton="0" quotePrefix="0" xfId="2">
      <alignment vertical="center"/>
    </xf>
    <xf numFmtId="169" fontId="3" fillId="0" borderId="0" applyAlignment="1" pivotButton="0" quotePrefix="0" xfId="2">
      <alignment vertical="center"/>
    </xf>
    <xf numFmtId="170" fontId="3" fillId="0" borderId="0" applyAlignment="1" pivotButton="0" quotePrefix="0" xfId="2">
      <alignment vertical="center"/>
    </xf>
    <xf numFmtId="164" fontId="3" fillId="0" borderId="0" applyAlignment="1" pivotButton="0" quotePrefix="0" xfId="2">
      <alignment vertical="center"/>
    </xf>
    <xf numFmtId="0" fontId="3" fillId="0" borderId="0" applyAlignment="1" pivotButton="0" quotePrefix="0" xfId="2">
      <alignment horizontal="left"/>
    </xf>
    <xf numFmtId="0" fontId="3" fillId="0" borderId="0" applyAlignment="1" pivotButton="0" quotePrefix="0" xfId="2">
      <alignment horizontal="left" vertical="center"/>
    </xf>
    <xf numFmtId="0" fontId="3" fillId="2" borderId="0" applyAlignment="1" pivotButton="0" quotePrefix="0" xfId="2">
      <alignment horizontal="center" vertical="center"/>
    </xf>
    <xf numFmtId="164" fontId="3" fillId="2" borderId="0" applyAlignment="1" pivotButton="0" quotePrefix="0" xfId="3">
      <alignment horizontal="center" vertical="center"/>
    </xf>
    <xf numFmtId="10" fontId="3" fillId="2" borderId="0" applyAlignment="1" pivotButton="0" quotePrefix="0" xfId="3">
      <alignment horizontal="center" vertical="center"/>
    </xf>
    <xf numFmtId="14" fontId="3" fillId="2" borderId="0" pivotButton="0" quotePrefix="0" xfId="2"/>
    <xf numFmtId="58" fontId="3" fillId="2" borderId="0" applyAlignment="1" pivotButton="0" quotePrefix="0" xfId="2">
      <alignment vertical="center"/>
    </xf>
    <xf numFmtId="169" fontId="3" fillId="2" borderId="0" applyAlignment="1" pivotButton="0" quotePrefix="0" xfId="2">
      <alignment vertical="center"/>
    </xf>
    <xf numFmtId="0" fontId="3" fillId="2" borderId="0" applyAlignment="1" pivotButton="0" quotePrefix="0" xfId="2">
      <alignment vertical="center"/>
    </xf>
    <xf numFmtId="164" fontId="3" fillId="2" borderId="0" applyAlignment="1" pivotButton="0" quotePrefix="0" xfId="2">
      <alignment vertical="center"/>
    </xf>
    <xf numFmtId="10" fontId="3" fillId="0" borderId="0" pivotButton="0" quotePrefix="0" xfId="4"/>
    <xf numFmtId="0" fontId="9" fillId="0" borderId="0" applyAlignment="1" pivotButton="0" quotePrefix="0" xfId="2">
      <alignment horizontal="center" vertical="center"/>
    </xf>
    <xf numFmtId="165" fontId="3" fillId="0" borderId="0" applyAlignment="1" pivotButton="0" quotePrefix="0" xfId="3">
      <alignment horizontal="center" vertical="center"/>
    </xf>
    <xf numFmtId="164" fontId="9" fillId="0" borderId="0" applyAlignment="1" pivotButton="0" quotePrefix="0" xfId="3">
      <alignment horizontal="center" vertical="center"/>
    </xf>
    <xf numFmtId="165" fontId="3" fillId="0" borderId="0" pivotButton="0" quotePrefix="0" xfId="3"/>
    <xf numFmtId="168" fontId="3" fillId="0" borderId="0" pivotButton="0" quotePrefix="0" xfId="3"/>
    <xf numFmtId="10" fontId="3" fillId="0" borderId="0" pivotButton="0" quotePrefix="0" xfId="2"/>
    <xf numFmtId="0" fontId="3" fillId="8" borderId="0" applyAlignment="1" pivotButton="0" quotePrefix="0" xfId="2">
      <alignment horizontal="center" vertical="center"/>
    </xf>
    <xf numFmtId="0" fontId="3" fillId="9" borderId="0" applyAlignment="1" pivotButton="0" quotePrefix="0" xfId="2">
      <alignment horizontal="center" vertical="center"/>
    </xf>
    <xf numFmtId="10" fontId="3" fillId="9" borderId="0" applyAlignment="1" pivotButton="0" quotePrefix="0" xfId="4">
      <alignment horizontal="center" vertical="center"/>
    </xf>
    <xf numFmtId="0" fontId="3" fillId="10" borderId="0" pivotButton="0" quotePrefix="0" xfId="2"/>
    <xf numFmtId="0" fontId="3" fillId="11" borderId="0" pivotButton="0" quotePrefix="0" xfId="2"/>
    <xf numFmtId="164" fontId="3" fillId="11" borderId="0" pivotButton="0" quotePrefix="0" xfId="2"/>
    <xf numFmtId="0" fontId="3" fillId="12" borderId="0" pivotButton="0" quotePrefix="0" xfId="2"/>
    <xf numFmtId="164" fontId="3" fillId="10" borderId="0" pivotButton="0" quotePrefix="0" xfId="2"/>
    <xf numFmtId="9" fontId="3" fillId="0" borderId="0" pivotButton="0" quotePrefix="0" xfId="2"/>
    <xf numFmtId="0" fontId="9" fillId="10" borderId="0" pivotButton="0" quotePrefix="0" xfId="2"/>
    <xf numFmtId="164" fontId="7" fillId="0" borderId="0" applyAlignment="1" pivotButton="0" quotePrefix="0" xfId="2">
      <alignment vertical="center"/>
    </xf>
    <xf numFmtId="171" fontId="9" fillId="0" borderId="0" pivotButton="0" quotePrefix="0" xfId="2"/>
    <xf numFmtId="171" fontId="9" fillId="0" borderId="0" pivotButton="0" quotePrefix="0" xfId="3"/>
    <xf numFmtId="172" fontId="9" fillId="0" borderId="0" pivotButton="0" quotePrefix="0" xfId="4"/>
    <xf numFmtId="165" fontId="0" fillId="0" borderId="0" applyAlignment="1" pivotButton="0" quotePrefix="0" xfId="1">
      <alignment vertical="center"/>
    </xf>
    <xf numFmtId="58" fontId="0" fillId="2" borderId="0" applyAlignment="1" pivotButton="0" quotePrefix="0" xfId="0">
      <alignment vertical="center"/>
    </xf>
    <xf numFmtId="0" fontId="17" fillId="2" borderId="0" applyAlignment="1" pivotButton="0" quotePrefix="0" xfId="0">
      <alignment vertical="center"/>
    </xf>
    <xf numFmtId="0" fontId="0" fillId="2" borderId="0" applyAlignment="1" pivotButton="0" quotePrefix="0" xfId="0">
      <alignment vertical="center"/>
    </xf>
    <xf numFmtId="165" fontId="0" fillId="2" borderId="0" applyAlignment="1" pivotButton="0" quotePrefix="0" xfId="1">
      <alignment vertical="center"/>
    </xf>
    <xf numFmtId="4" fontId="18" fillId="0" borderId="0" applyAlignment="1" pivotButton="0" quotePrefix="0" xfId="0">
      <alignment vertical="center"/>
    </xf>
    <xf numFmtId="0" fontId="18" fillId="2" borderId="0" applyAlignment="1" pivotButton="0" quotePrefix="0" xfId="0">
      <alignment vertical="center"/>
    </xf>
    <xf numFmtId="164" fontId="0" fillId="2" borderId="0" applyAlignment="1" pivotButton="0" quotePrefix="0" xfId="1">
      <alignment vertical="center"/>
    </xf>
    <xf numFmtId="58" fontId="0" fillId="0" borderId="0" applyAlignment="1" pivotButton="0" quotePrefix="0" xfId="0">
      <alignment vertical="center"/>
    </xf>
    <xf numFmtId="0" fontId="0" fillId="0" borderId="1" applyAlignment="1" pivotButton="0" quotePrefix="0" xfId="0">
      <alignment vertical="center" wrapText="1"/>
    </xf>
    <xf numFmtId="0" fontId="0" fillId="0" borderId="1" applyAlignment="1" pivotButton="0" quotePrefix="0" xfId="0">
      <alignment vertical="center"/>
    </xf>
    <xf numFmtId="1" fontId="26" fillId="2" borderId="0" applyAlignment="1" pivotButton="0" quotePrefix="0" xfId="0">
      <alignment vertical="center"/>
    </xf>
    <xf numFmtId="0" fontId="27" fillId="0" borderId="0" applyAlignment="1" pivotButton="0" quotePrefix="0" xfId="0">
      <alignment vertical="center"/>
    </xf>
    <xf numFmtId="0" fontId="0" fillId="6" borderId="0" applyAlignment="1" pivotButton="0" quotePrefix="0" xfId="0">
      <alignment vertical="center"/>
    </xf>
    <xf numFmtId="1" fontId="0" fillId="2" borderId="0" applyAlignment="1" pivotButton="0" quotePrefix="0" xfId="1">
      <alignment vertical="center"/>
    </xf>
    <xf numFmtId="0" fontId="19" fillId="0" borderId="0" applyAlignment="1" pivotButton="0" quotePrefix="0" xfId="0">
      <alignment vertical="center"/>
    </xf>
    <xf numFmtId="14" fontId="0" fillId="0" borderId="0" applyAlignment="1" pivotButton="0" quotePrefix="0" xfId="0">
      <alignment vertical="center" wrapText="1"/>
    </xf>
    <xf numFmtId="0" fontId="26" fillId="2" borderId="0" applyAlignment="1" pivotButton="0" quotePrefix="0" xfId="0">
      <alignment horizontal="left" vertical="center"/>
    </xf>
    <xf numFmtId="14" fontId="34" fillId="3" borderId="2" applyAlignment="1" pivotButton="0" quotePrefix="0" xfId="2">
      <alignment horizontal="center" vertical="center" wrapText="1"/>
    </xf>
    <xf numFmtId="0" fontId="8" fillId="0" borderId="0" pivotButton="0" quotePrefix="0" xfId="2"/>
    <xf numFmtId="165" fontId="34" fillId="3" borderId="2" applyAlignment="1" pivotButton="0" quotePrefix="0" xfId="1">
      <alignment horizontal="center" vertical="center" wrapText="1"/>
    </xf>
    <xf numFmtId="165" fontId="8" fillId="0" borderId="0" pivotButton="0" quotePrefix="0" xfId="1"/>
    <xf numFmtId="14" fontId="8" fillId="0" borderId="0" pivotButton="0" quotePrefix="0" xfId="2"/>
    <xf numFmtId="165" fontId="34" fillId="4" borderId="2" applyAlignment="1" pivotButton="0" quotePrefix="0" xfId="1">
      <alignment horizontal="center" vertical="center" wrapText="1"/>
    </xf>
    <xf numFmtId="0" fontId="8" fillId="0" borderId="4" pivotButton="0" quotePrefix="0" xfId="2"/>
    <xf numFmtId="14" fontId="8" fillId="0" borderId="4" pivotButton="0" quotePrefix="0" xfId="2"/>
    <xf numFmtId="165" fontId="8" fillId="0" borderId="4" pivotButton="0" quotePrefix="0" xfId="1"/>
    <xf numFmtId="165" fontId="8" fillId="0" borderId="0" pivotButton="0" quotePrefix="0" xfId="1"/>
    <xf numFmtId="10" fontId="34" fillId="3" borderId="2" applyAlignment="1" pivotButton="0" quotePrefix="0" xfId="5">
      <alignment horizontal="center" vertical="center" wrapText="1"/>
    </xf>
    <xf numFmtId="10" fontId="8" fillId="0" borderId="0" pivotButton="0" quotePrefix="0" xfId="5"/>
    <xf numFmtId="10" fontId="8" fillId="0" borderId="4" pivotButton="0" quotePrefix="0" xfId="5"/>
    <xf numFmtId="10" fontId="8" fillId="0" borderId="0" pivotButton="0" quotePrefix="0" xfId="5"/>
    <xf numFmtId="165" fontId="34" fillId="0" borderId="0" pivotButton="0" quotePrefix="0" xfId="1"/>
    <xf numFmtId="14" fontId="8" fillId="0" borderId="0" pivotButton="0" quotePrefix="0" xfId="1"/>
    <xf numFmtId="14" fontId="34" fillId="3" borderId="2" applyAlignment="1" pivotButton="0" quotePrefix="0" xfId="1">
      <alignment horizontal="center" vertical="center" wrapText="1"/>
    </xf>
    <xf numFmtId="14" fontId="8" fillId="0" borderId="4" pivotButton="0" quotePrefix="0" xfId="1"/>
    <xf numFmtId="14" fontId="34" fillId="0" borderId="0" pivotButton="0" quotePrefix="0" xfId="1"/>
    <xf numFmtId="9" fontId="0" fillId="0" borderId="0" applyAlignment="1" pivotButton="0" quotePrefix="0" xfId="0">
      <alignment vertical="center"/>
    </xf>
    <xf numFmtId="0" fontId="35" fillId="14" borderId="0" applyAlignment="1" pivotButton="0" quotePrefix="0" xfId="0">
      <alignment vertical="center"/>
    </xf>
    <xf numFmtId="0" fontId="35" fillId="15" borderId="0" applyAlignment="1" pivotButton="0" quotePrefix="0" xfId="0">
      <alignment vertical="center"/>
    </xf>
    <xf numFmtId="0" fontId="5" fillId="16" borderId="0" applyAlignment="1" pivotButton="0" quotePrefix="0" xfId="0">
      <alignment vertical="center"/>
    </xf>
    <xf numFmtId="10" fontId="0" fillId="0" borderId="0" applyAlignment="1" pivotButton="0" quotePrefix="0" xfId="0">
      <alignment vertical="center"/>
    </xf>
    <xf numFmtId="172" fontId="0" fillId="0" borderId="0" applyAlignment="1" pivotButton="0" quotePrefix="0" xfId="5">
      <alignment vertical="center"/>
    </xf>
    <xf numFmtId="0" fontId="3" fillId="0" borderId="0" applyAlignment="1" pivotButton="0" quotePrefix="0" xfId="0">
      <alignment vertical="center"/>
    </xf>
    <xf numFmtId="14" fontId="4" fillId="0" borderId="0" applyAlignment="1" pivotButton="0" quotePrefix="0" xfId="0">
      <alignment vertical="center"/>
    </xf>
    <xf numFmtId="14" fontId="4" fillId="0" borderId="0" applyAlignment="1" pivotButton="0" quotePrefix="0" xfId="5">
      <alignment vertical="center"/>
    </xf>
    <xf numFmtId="167" fontId="0" fillId="0" borderId="0" applyAlignment="1" pivotButton="0" quotePrefix="0" xfId="1">
      <alignment vertical="center"/>
    </xf>
    <xf numFmtId="14" fontId="0" fillId="2" borderId="0" applyAlignment="1" pivotButton="0" quotePrefix="0" xfId="0">
      <alignment horizontal="center" vertical="center"/>
    </xf>
    <xf numFmtId="165" fontId="0" fillId="2" borderId="0" applyAlignment="1" pivotButton="0" quotePrefix="0" xfId="1">
      <alignment vertical="center"/>
    </xf>
    <xf numFmtId="9" fontId="0" fillId="0" borderId="0" applyAlignment="1" pivotButton="0" quotePrefix="0" xfId="1">
      <alignment vertical="center"/>
    </xf>
    <xf numFmtId="58" fontId="18" fillId="2" borderId="0" applyAlignment="1" pivotButton="0" quotePrefix="0" xfId="0">
      <alignment vertical="center"/>
    </xf>
    <xf numFmtId="0" fontId="31" fillId="2" borderId="0" applyAlignment="1" pivotButton="0" quotePrefix="0" xfId="0">
      <alignment vertical="center"/>
    </xf>
    <xf numFmtId="167" fontId="8" fillId="0" borderId="0" pivotButton="0" quotePrefix="0" xfId="1"/>
    <xf numFmtId="0" fontId="21" fillId="2" borderId="0" applyAlignment="1" pivotButton="0" quotePrefix="0" xfId="0">
      <alignment vertical="center"/>
    </xf>
    <xf numFmtId="10" fontId="0" fillId="0" borderId="0" applyAlignment="1" pivotButton="0" quotePrefix="0" xfId="5">
      <alignment vertical="center"/>
    </xf>
    <xf numFmtId="0" fontId="0" fillId="0" borderId="0" applyAlignment="1" pivotButton="0" quotePrefix="1" xfId="0">
      <alignment vertical="center"/>
    </xf>
    <xf numFmtId="164" fontId="0" fillId="0" borderId="0" applyAlignment="1" pivotButton="0" quotePrefix="0" xfId="0">
      <alignment vertical="center"/>
    </xf>
    <xf numFmtId="164" fontId="0" fillId="0" borderId="0" applyAlignment="1" pivotButton="0" quotePrefix="0" xfId="1">
      <alignment vertical="center"/>
    </xf>
    <xf numFmtId="10" fontId="0" fillId="0" borderId="0" applyAlignment="1" pivotButton="0" quotePrefix="0" xfId="1">
      <alignment vertical="center"/>
    </xf>
    <xf numFmtId="0" fontId="0" fillId="2" borderId="1" applyAlignment="1" pivotButton="0" quotePrefix="0" xfId="0">
      <alignment vertical="center"/>
    </xf>
    <xf numFmtId="0" fontId="5" fillId="0" borderId="0" applyAlignment="1" pivotButton="0" quotePrefix="0" xfId="0">
      <alignment vertical="center"/>
    </xf>
    <xf numFmtId="165" fontId="0" fillId="6" borderId="0" applyAlignment="1" pivotButton="0" quotePrefix="0" xfId="1">
      <alignment vertical="center"/>
    </xf>
    <xf numFmtId="0" fontId="32" fillId="2" borderId="0" applyAlignment="1" pivotButton="0" quotePrefix="0" xfId="0">
      <alignment vertical="center"/>
    </xf>
    <xf numFmtId="0" fontId="0" fillId="5" borderId="0" applyAlignment="1" pivotButton="0" quotePrefix="0" xfId="0">
      <alignment vertical="center"/>
    </xf>
    <xf numFmtId="164" fontId="0" fillId="5" borderId="0" applyAlignment="1" pivotButton="0" quotePrefix="0" xfId="1">
      <alignment vertical="center"/>
    </xf>
    <xf numFmtId="166" fontId="0" fillId="5" borderId="0" applyAlignment="1" pivotButton="0" quotePrefix="0" xfId="1">
      <alignment vertical="center"/>
    </xf>
    <xf numFmtId="173" fontId="8" fillId="0" borderId="0" pivotButton="0" quotePrefix="0" xfId="2"/>
    <xf numFmtId="0" fontId="8" fillId="0" borderId="0" applyAlignment="1" pivotButton="0" quotePrefix="0" xfId="2">
      <alignment wrapText="1"/>
    </xf>
    <xf numFmtId="14" fontId="34" fillId="3" borderId="0" applyAlignment="1" pivotButton="0" quotePrefix="0" xfId="1">
      <alignment horizontal="center" vertical="center" wrapText="1"/>
    </xf>
    <xf numFmtId="0" fontId="8" fillId="6" borderId="0" pivotButton="0" quotePrefix="0" xfId="2"/>
    <xf numFmtId="10" fontId="8" fillId="6" borderId="0" pivotButton="0" quotePrefix="0" xfId="5"/>
    <xf numFmtId="14" fontId="8" fillId="6" borderId="0" pivotButton="0" quotePrefix="0" xfId="2"/>
    <xf numFmtId="165" fontId="8" fillId="6" borderId="0" pivotButton="0" quotePrefix="0" xfId="1"/>
    <xf numFmtId="14" fontId="8" fillId="6" borderId="0" pivotButton="0" quotePrefix="0" xfId="1"/>
    <xf numFmtId="0" fontId="5" fillId="6" borderId="0" applyAlignment="1" pivotButton="0" quotePrefix="0" xfId="0">
      <alignment vertical="center"/>
    </xf>
    <xf numFmtId="0" fontId="0" fillId="0" borderId="0" applyAlignment="1" pivotButton="0" quotePrefix="0" xfId="0">
      <alignment horizontal="right" vertical="center"/>
    </xf>
    <xf numFmtId="2" fontId="0" fillId="0" borderId="0" applyAlignment="1" pivotButton="0" quotePrefix="0" xfId="0">
      <alignment vertical="center"/>
    </xf>
    <xf numFmtId="164" fontId="5" fillId="0" borderId="0" applyAlignment="1" pivotButton="0" quotePrefix="0" xfId="0">
      <alignment vertical="center"/>
    </xf>
    <xf numFmtId="165" fontId="8" fillId="0" borderId="0" pivotButton="0" quotePrefix="0" xfId="2"/>
    <xf numFmtId="0" fontId="23" fillId="2" borderId="0" applyAlignment="1" pivotButton="0" quotePrefix="0" xfId="0">
      <alignment vertical="center"/>
    </xf>
    <xf numFmtId="10" fontId="0" fillId="2" borderId="0" applyAlignment="1" pivotButton="0" quotePrefix="0" xfId="0">
      <alignment vertical="center"/>
    </xf>
    <xf numFmtId="0" fontId="36" fillId="0" borderId="0" applyAlignment="1" pivotButton="0" quotePrefix="0" xfId="0">
      <alignment vertical="center"/>
    </xf>
    <xf numFmtId="0" fontId="37" fillId="17" borderId="0" applyAlignment="1" pivotButton="0" quotePrefix="0" xfId="0">
      <alignment vertical="center"/>
    </xf>
    <xf numFmtId="164" fontId="37" fillId="17" borderId="0" applyAlignment="1" pivotButton="0" quotePrefix="0" xfId="1">
      <alignment vertical="center"/>
    </xf>
    <xf numFmtId="10" fontId="37" fillId="17" borderId="0" applyAlignment="1" pivotButton="0" quotePrefix="0" xfId="5">
      <alignment vertical="center"/>
    </xf>
    <xf numFmtId="58" fontId="37" fillId="17" borderId="0" applyAlignment="1" pivotButton="0" quotePrefix="0" xfId="0">
      <alignment vertical="center"/>
    </xf>
    <xf numFmtId="0" fontId="37" fillId="0" borderId="0" applyAlignment="1" pivotButton="0" quotePrefix="0" xfId="0">
      <alignment vertical="center"/>
    </xf>
    <xf numFmtId="10" fontId="8" fillId="0" borderId="0" pivotButton="0" quotePrefix="0" xfId="5"/>
    <xf numFmtId="165" fontId="8" fillId="0" borderId="0" pivotButton="0" quotePrefix="0" xfId="1"/>
    <xf numFmtId="14" fontId="8" fillId="0" borderId="0" pivotButton="0" quotePrefix="0" xfId="1"/>
    <xf numFmtId="166" fontId="0" fillId="0" borderId="0" applyAlignment="1" pivotButton="0" quotePrefix="0" xfId="0">
      <alignment vertical="center"/>
    </xf>
    <xf numFmtId="0" fontId="26" fillId="13" borderId="3" applyAlignment="1" pivotButton="0" quotePrefix="0" xfId="0">
      <alignment horizontal="left" vertical="center"/>
    </xf>
    <xf numFmtId="0" fontId="4" fillId="0" borderId="0" applyAlignment="1" pivotButton="0" quotePrefix="0" xfId="0">
      <alignment vertical="center"/>
    </xf>
    <xf numFmtId="0" fontId="29" fillId="2" borderId="3" applyAlignment="1" pivotButton="0" quotePrefix="0" xfId="0">
      <alignment horizontal="center" vertical="center"/>
    </xf>
    <xf numFmtId="0" fontId="30" fillId="2" borderId="3" applyAlignment="1" pivotButton="0" quotePrefix="0" xfId="0">
      <alignment horizontal="center" vertical="center"/>
    </xf>
    <xf numFmtId="0" fontId="17" fillId="2" borderId="0" applyAlignment="1" pivotButton="0" quotePrefix="0" xfId="0">
      <alignment horizontal="center" vertical="center"/>
    </xf>
    <xf numFmtId="10" fontId="9" fillId="0" borderId="0" pivotButton="0" quotePrefix="0" xfId="5"/>
    <xf numFmtId="166" fontId="0" fillId="17" borderId="0" applyAlignment="1" pivotButton="0" quotePrefix="0" xfId="1">
      <alignment vertical="center"/>
    </xf>
    <xf numFmtId="0" fontId="0" fillId="17" borderId="0" applyAlignment="1" pivotButton="0" quotePrefix="0" xfId="0">
      <alignment vertical="center"/>
    </xf>
    <xf numFmtId="174" fontId="0" fillId="0" borderId="0" applyAlignment="1" pivotButton="0" quotePrefix="0" xfId="0">
      <alignment vertical="center"/>
    </xf>
    <xf numFmtId="164" fontId="3" fillId="2" borderId="0" applyAlignment="1" pivotButton="0" quotePrefix="0" xfId="1">
      <alignment vertical="center"/>
    </xf>
    <xf numFmtId="164" fontId="3" fillId="2" borderId="0" pivotButton="0" quotePrefix="0" xfId="1"/>
    <xf numFmtId="14" fontId="0" fillId="2" borderId="0" applyAlignment="1" pivotButton="0" quotePrefix="0" xfId="0">
      <alignment vertical="center"/>
    </xf>
    <xf numFmtId="0" fontId="26" fillId="2" borderId="3" applyAlignment="1" pivotButton="0" quotePrefix="0" xfId="0">
      <alignment horizontal="left" vertical="center"/>
    </xf>
    <xf numFmtId="164" fontId="0" fillId="2" borderId="0" applyAlignment="1" pivotButton="0" quotePrefix="0" xfId="0">
      <alignment vertical="center"/>
    </xf>
    <xf numFmtId="166" fontId="0" fillId="2" borderId="0" applyAlignment="1" pivotButton="0" quotePrefix="0" xfId="1">
      <alignment vertical="center"/>
    </xf>
    <xf numFmtId="10" fontId="5" fillId="0" borderId="0" applyAlignment="1" pivotButton="0" quotePrefix="0" xfId="5">
      <alignment vertical="center"/>
    </xf>
    <xf numFmtId="164" fontId="4" fillId="6" borderId="0" applyAlignment="1" pivotButton="0" quotePrefix="0" xfId="1">
      <alignment vertical="center"/>
    </xf>
    <xf numFmtId="0" fontId="0" fillId="0" borderId="0" applyAlignment="1" pivotButton="0" quotePrefix="0" xfId="0">
      <alignment horizontal="left" vertical="center"/>
    </xf>
    <xf numFmtId="0" fontId="0" fillId="2" borderId="0" applyAlignment="1" pivotButton="0" quotePrefix="0" xfId="0">
      <alignment horizontal="left" vertical="center"/>
    </xf>
    <xf numFmtId="165" fontId="0" fillId="2" borderId="0" applyAlignment="1" pivotButton="0" quotePrefix="0" xfId="0">
      <alignment vertical="center"/>
    </xf>
    <xf numFmtId="0" fontId="19" fillId="2" borderId="0" applyAlignment="1" pivotButton="0" quotePrefix="0" xfId="0">
      <alignment vertical="center"/>
    </xf>
    <xf numFmtId="0" fontId="0" fillId="0" borderId="1" applyAlignment="1" pivotButton="0" quotePrefix="0" xfId="0">
      <alignment horizontal="left" vertical="center"/>
    </xf>
    <xf numFmtId="0" fontId="22" fillId="2" borderId="0" applyAlignment="1" pivotButton="0" quotePrefix="0" xfId="0">
      <alignment vertical="center"/>
    </xf>
    <xf numFmtId="164" fontId="0" fillId="0" borderId="0" applyAlignment="1" pivotButton="0" quotePrefix="0" xfId="1">
      <alignment vertical="center"/>
    </xf>
    <xf numFmtId="0" fontId="0" fillId="2" borderId="0" pivotButton="0" quotePrefix="0" xfId="0"/>
    <xf numFmtId="14" fontId="0" fillId="0" borderId="1" applyAlignment="1" pivotButton="0" quotePrefix="0" xfId="1">
      <alignment vertical="center"/>
    </xf>
    <xf numFmtId="58" fontId="0" fillId="0" borderId="1" applyAlignment="1" pivotButton="0" quotePrefix="0" xfId="0">
      <alignment vertical="center"/>
    </xf>
    <xf numFmtId="0" fontId="38" fillId="2" borderId="0" applyAlignment="1" pivotButton="0" quotePrefix="0" xfId="0">
      <alignment vertical="center"/>
    </xf>
    <xf numFmtId="58" fontId="14" fillId="2" borderId="0" applyAlignment="1" pivotButton="0" quotePrefix="0" xfId="5">
      <alignment vertical="center"/>
    </xf>
    <xf numFmtId="0" fontId="39" fillId="2" borderId="0" applyAlignment="1" pivotButton="0" quotePrefix="0" xfId="0">
      <alignment vertical="center"/>
    </xf>
    <xf numFmtId="164" fontId="40" fillId="2" borderId="0" applyAlignment="1" pivotButton="0" quotePrefix="0" xfId="1">
      <alignment vertical="center"/>
    </xf>
    <xf numFmtId="164" fontId="41" fillId="2" borderId="0" applyAlignment="1" pivotButton="0" quotePrefix="0" xfId="1">
      <alignment vertical="center"/>
    </xf>
    <xf numFmtId="164" fontId="42" fillId="2" borderId="0" applyAlignment="1" pivotButton="0" quotePrefix="0" xfId="1">
      <alignment vertical="center"/>
    </xf>
    <xf numFmtId="164" fontId="14" fillId="2" borderId="0" applyAlignment="1" pivotButton="0" quotePrefix="0" xfId="1">
      <alignment vertical="center"/>
    </xf>
    <xf numFmtId="58" fontId="14" fillId="0" borderId="0" applyAlignment="1" pivotButton="0" quotePrefix="0" xfId="5">
      <alignment vertical="center"/>
    </xf>
    <xf numFmtId="0" fontId="39" fillId="0" borderId="0" applyAlignment="1" pivotButton="0" quotePrefix="0" xfId="0">
      <alignment vertical="center"/>
    </xf>
    <xf numFmtId="164" fontId="43" fillId="0" borderId="0" applyAlignment="1" pivotButton="0" quotePrefix="0" xfId="1">
      <alignment vertical="center"/>
    </xf>
    <xf numFmtId="164" fontId="14" fillId="0" borderId="0" applyAlignment="1" pivotButton="0" quotePrefix="0" xfId="1">
      <alignment vertical="center"/>
    </xf>
    <xf numFmtId="164" fontId="39" fillId="0" borderId="0" applyAlignment="1" pivotButton="0" quotePrefix="0" xfId="1">
      <alignment vertical="center"/>
    </xf>
    <xf numFmtId="164" fontId="39" fillId="2" borderId="0" applyAlignment="1" pivotButton="0" quotePrefix="0" xfId="1">
      <alignment vertical="center"/>
    </xf>
    <xf numFmtId="9" fontId="0" fillId="2" borderId="0" applyAlignment="1" pivotButton="0" quotePrefix="0" xfId="0">
      <alignment vertical="center"/>
    </xf>
    <xf numFmtId="0" fontId="8" fillId="2" borderId="0" pivotButton="0" quotePrefix="0" xfId="2"/>
    <xf numFmtId="165" fontId="8" fillId="2" borderId="0" pivotButton="0" quotePrefix="0" xfId="1"/>
    <xf numFmtId="171" fontId="0" fillId="0" borderId="0" applyAlignment="1" pivotButton="0" quotePrefix="0" xfId="0">
      <alignment vertical="center"/>
    </xf>
    <xf numFmtId="164" fontId="39" fillId="0" borderId="0" applyAlignment="1" pivotButton="0" quotePrefix="0" xfId="1">
      <alignment vertical="center"/>
    </xf>
    <xf numFmtId="1" fontId="26" fillId="0" borderId="0" applyAlignment="1" pivotButton="0" quotePrefix="0" xfId="0">
      <alignment vertical="center"/>
    </xf>
    <xf numFmtId="0" fontId="8" fillId="19" borderId="0" pivotButton="0" quotePrefix="0" xfId="2"/>
    <xf numFmtId="165" fontId="8" fillId="19" borderId="0" pivotButton="0" quotePrefix="0" xfId="1"/>
    <xf numFmtId="164" fontId="5" fillId="0" borderId="0" applyAlignment="1" pivotButton="0" quotePrefix="0" xfId="1">
      <alignment vertical="center"/>
    </xf>
    <xf numFmtId="0" fontId="47" fillId="0" borderId="0" pivotButton="0" quotePrefix="0" xfId="2"/>
    <xf numFmtId="164" fontId="0" fillId="0" borderId="0" applyAlignment="1" pivotButton="0" quotePrefix="0" xfId="1">
      <alignment vertical="center"/>
    </xf>
    <xf numFmtId="58" fontId="21" fillId="2" borderId="0" applyAlignment="1" pivotButton="0" quotePrefix="0" xfId="0">
      <alignment vertical="center"/>
    </xf>
    <xf numFmtId="14" fontId="26" fillId="2" borderId="0" applyAlignment="1" pivotButton="0" quotePrefix="0" xfId="0">
      <alignment horizontal="center" vertical="center"/>
    </xf>
    <xf numFmtId="0" fontId="26" fillId="2" borderId="0" applyAlignment="1" pivotButton="0" quotePrefix="0" xfId="0">
      <alignment vertical="center"/>
    </xf>
    <xf numFmtId="165" fontId="8" fillId="20" borderId="0" pivotButton="0" quotePrefix="0" xfId="1"/>
    <xf numFmtId="10" fontId="0" fillId="20" borderId="0" applyAlignment="1" pivotButton="0" quotePrefix="0" xfId="5">
      <alignment vertical="center"/>
    </xf>
    <xf numFmtId="14" fontId="0" fillId="20" borderId="0" applyAlignment="1" pivotButton="0" quotePrefix="0" xfId="0">
      <alignment vertical="center"/>
    </xf>
    <xf numFmtId="0" fontId="0" fillId="20" borderId="0" applyAlignment="1" pivotButton="0" quotePrefix="0" xfId="0">
      <alignment vertical="center"/>
    </xf>
    <xf numFmtId="164" fontId="0" fillId="20" borderId="0" applyAlignment="1" pivotButton="0" quotePrefix="0" xfId="1">
      <alignment vertical="center"/>
    </xf>
    <xf numFmtId="4" fontId="0" fillId="0" borderId="0" applyAlignment="1" pivotButton="0" quotePrefix="0" xfId="0">
      <alignment vertical="center"/>
    </xf>
    <xf numFmtId="58" fontId="0" fillId="20" borderId="0" applyAlignment="1" pivotButton="0" quotePrefix="0" xfId="0">
      <alignment vertical="center"/>
    </xf>
    <xf numFmtId="10" fontId="0" fillId="20" borderId="0" applyAlignment="1" pivotButton="0" quotePrefix="0" xfId="0">
      <alignment vertical="center"/>
    </xf>
    <xf numFmtId="0" fontId="23" fillId="20" borderId="0" applyAlignment="1" pivotButton="0" quotePrefix="0" xfId="0">
      <alignment vertical="center"/>
    </xf>
    <xf numFmtId="172" fontId="0" fillId="0" borderId="0" applyAlignment="1" pivotButton="0" quotePrefix="0" xfId="0">
      <alignment vertical="center"/>
    </xf>
    <xf numFmtId="171" fontId="7" fillId="0" borderId="0" applyAlignment="1" pivotButton="0" quotePrefix="0" xfId="2">
      <alignment vertical="center"/>
    </xf>
    <xf numFmtId="164" fontId="9" fillId="0" borderId="0" pivotButton="0" quotePrefix="0" xfId="1"/>
    <xf numFmtId="14" fontId="0" fillId="0" borderId="0" applyAlignment="1" pivotButton="0" quotePrefix="0" xfId="1">
      <alignment vertical="center"/>
    </xf>
    <xf numFmtId="58" fontId="25" fillId="2" borderId="0" applyAlignment="1" pivotButton="0" quotePrefix="0" xfId="5">
      <alignment vertical="center"/>
    </xf>
    <xf numFmtId="0" fontId="27" fillId="2" borderId="0" applyAlignment="1" pivotButton="0" quotePrefix="0" xfId="0">
      <alignment vertical="center"/>
    </xf>
    <xf numFmtId="164" fontId="44" fillId="2" borderId="0" applyAlignment="1" pivotButton="0" quotePrefix="0" xfId="1">
      <alignment vertical="center"/>
    </xf>
    <xf numFmtId="58" fontId="8" fillId="2" borderId="0" applyAlignment="1" pivotButton="0" quotePrefix="0" xfId="5">
      <alignment vertical="center"/>
    </xf>
    <xf numFmtId="164" fontId="46" fillId="2" borderId="0" applyAlignment="1" pivotButton="0" quotePrefix="0" xfId="1">
      <alignment vertical="center"/>
    </xf>
    <xf numFmtId="164" fontId="8" fillId="2" borderId="0" applyAlignment="1" pivotButton="0" quotePrefix="0" xfId="1">
      <alignment vertical="center"/>
    </xf>
    <xf numFmtId="0" fontId="8" fillId="2" borderId="0" applyAlignment="1" pivotButton="0" quotePrefix="0" xfId="0">
      <alignment vertical="center"/>
    </xf>
    <xf numFmtId="0" fontId="4" fillId="2" borderId="0" applyAlignment="1" pivotButton="0" quotePrefix="0" xfId="0">
      <alignment vertical="center"/>
    </xf>
    <xf numFmtId="166" fontId="0" fillId="2" borderId="0" applyAlignment="1" pivotButton="0" quotePrefix="0" xfId="0">
      <alignment vertical="center"/>
    </xf>
    <xf numFmtId="0" fontId="0" fillId="0" borderId="0" applyAlignment="1" pivotButton="0" quotePrefix="0" xfId="0">
      <alignment horizontal="center" vertical="center"/>
    </xf>
    <xf numFmtId="10" fontId="8" fillId="0" borderId="0" applyAlignment="1" pivotButton="0" quotePrefix="0" xfId="5">
      <alignment vertical="center"/>
    </xf>
    <xf numFmtId="14" fontId="8" fillId="0" borderId="0" applyAlignment="1" pivotButton="0" quotePrefix="0" xfId="2">
      <alignment horizontal="center"/>
    </xf>
    <xf numFmtId="58" fontId="0" fillId="0" borderId="0" applyAlignment="1" pivotButton="0" quotePrefix="0" xfId="1">
      <alignment vertical="center"/>
    </xf>
    <xf numFmtId="14" fontId="50" fillId="5" borderId="0" applyAlignment="1" pivotButton="0" quotePrefix="0" xfId="0">
      <alignment horizontal="center" vertical="center"/>
    </xf>
    <xf numFmtId="168" fontId="50" fillId="5" borderId="0" applyAlignment="1" pivotButton="0" quotePrefix="0" xfId="1">
      <alignment horizontal="center" vertical="center"/>
    </xf>
    <xf numFmtId="168" fontId="0" fillId="0" borderId="0" applyAlignment="1" pivotButton="0" quotePrefix="0" xfId="1">
      <alignment vertical="center"/>
    </xf>
    <xf numFmtId="14" fontId="8" fillId="0" borderId="0" applyAlignment="1" pivotButton="0" quotePrefix="0" xfId="0">
      <alignment vertical="center"/>
    </xf>
    <xf numFmtId="14" fontId="0" fillId="2" borderId="0" applyAlignment="1" pivotButton="0" quotePrefix="0" xfId="0">
      <alignment horizontal="left" vertical="center"/>
    </xf>
    <xf numFmtId="164" fontId="0" fillId="2" borderId="0" applyAlignment="1" pivotButton="0" quotePrefix="0" xfId="1">
      <alignment vertical="center"/>
    </xf>
    <xf numFmtId="14" fontId="4" fillId="2" borderId="0" applyAlignment="1" pivotButton="0" quotePrefix="0" xfId="0">
      <alignment horizontal="center" vertical="center"/>
    </xf>
    <xf numFmtId="0" fontId="47" fillId="2" borderId="0" pivotButton="0" quotePrefix="0" xfId="2"/>
    <xf numFmtId="168" fontId="7" fillId="0" borderId="0" applyAlignment="1" pivotButton="0" quotePrefix="0" xfId="1">
      <alignment vertical="center"/>
    </xf>
    <xf numFmtId="168" fontId="0" fillId="0" borderId="1" applyAlignment="1" pivotButton="0" quotePrefix="0" xfId="1">
      <alignment vertical="center"/>
    </xf>
    <xf numFmtId="168" fontId="0" fillId="0" borderId="0" applyAlignment="1" pivotButton="0" quotePrefix="0" xfId="1">
      <alignment vertical="center"/>
    </xf>
    <xf numFmtId="0" fontId="26" fillId="13" borderId="2" applyAlignment="1" pivotButton="0" quotePrefix="0" xfId="0">
      <alignment vertical="center"/>
    </xf>
    <xf numFmtId="0" fontId="26" fillId="6" borderId="2" applyAlignment="1" pivotButton="0" quotePrefix="0" xfId="0">
      <alignment vertical="center"/>
    </xf>
    <xf numFmtId="58" fontId="4" fillId="2" borderId="0" applyAlignment="1" pivotButton="0" quotePrefix="0" xfId="0">
      <alignment vertical="center"/>
    </xf>
    <xf numFmtId="164" fontId="48" fillId="2" borderId="0" applyAlignment="1" pivotButton="0" quotePrefix="0" xfId="1">
      <alignment vertical="center"/>
    </xf>
    <xf numFmtId="164" fontId="49" fillId="2" borderId="0" applyAlignment="1" pivotButton="0" quotePrefix="0" xfId="1">
      <alignment vertical="center"/>
    </xf>
    <xf numFmtId="166" fontId="51" fillId="0" borderId="0" applyAlignment="1" pivotButton="0" quotePrefix="0" xfId="0">
      <alignment vertical="center"/>
    </xf>
    <xf numFmtId="0" fontId="51" fillId="2" borderId="0" applyAlignment="1" pivotButton="0" quotePrefix="0" xfId="0">
      <alignment vertical="center"/>
    </xf>
    <xf numFmtId="0" fontId="0" fillId="21" borderId="0" applyAlignment="1" pivotButton="0" quotePrefix="0" xfId="0">
      <alignment vertical="center"/>
    </xf>
    <xf numFmtId="0" fontId="0" fillId="9" borderId="0" applyAlignment="1" pivotButton="0" quotePrefix="0" xfId="0">
      <alignment vertical="center"/>
    </xf>
    <xf numFmtId="164" fontId="25" fillId="2" borderId="0" applyAlignment="1" pivotButton="0" quotePrefix="0" xfId="1">
      <alignment vertical="center"/>
    </xf>
    <xf numFmtId="164" fontId="27" fillId="2" borderId="0" applyAlignment="1" pivotButton="0" quotePrefix="0" xfId="1">
      <alignment vertical="center"/>
    </xf>
    <xf numFmtId="0" fontId="45" fillId="2" borderId="0" applyAlignment="1" pivotButton="0" quotePrefix="0" xfId="0">
      <alignment vertical="center"/>
    </xf>
    <xf numFmtId="164" fontId="8" fillId="0" borderId="0" pivotButton="0" quotePrefix="0" xfId="1"/>
    <xf numFmtId="14" fontId="3" fillId="5" borderId="0" applyAlignment="1" pivotButton="0" quotePrefix="0" xfId="0">
      <alignment horizontal="center" vertical="center"/>
    </xf>
    <xf numFmtId="167" fontId="0" fillId="0" borderId="0" pivotButton="0" quotePrefix="0" xfId="1"/>
    <xf numFmtId="164" fontId="52" fillId="6" borderId="0" applyAlignment="1" pivotButton="0" quotePrefix="0" xfId="1">
      <alignment vertical="center"/>
    </xf>
    <xf numFmtId="0" fontId="0" fillId="0" borderId="0" applyAlignment="1" pivotButton="0" quotePrefix="0" xfId="0">
      <alignment horizontal="left" vertical="center" wrapText="1"/>
    </xf>
    <xf numFmtId="0" fontId="26" fillId="0" borderId="0" applyAlignment="1" pivotButton="0" quotePrefix="0" xfId="0">
      <alignment vertical="center"/>
    </xf>
    <xf numFmtId="0" fontId="9" fillId="12" borderId="2" applyAlignment="1" pivotButton="0" quotePrefix="0" xfId="0">
      <alignment vertical="center"/>
    </xf>
    <xf numFmtId="9" fontId="9" fillId="12" borderId="2" applyAlignment="1" pivotButton="0" quotePrefix="0" xfId="0">
      <alignment vertical="center"/>
    </xf>
    <xf numFmtId="175" fontId="0" fillId="0" borderId="0" applyAlignment="1" pivotButton="0" quotePrefix="0" xfId="0">
      <alignment vertical="center"/>
    </xf>
    <xf numFmtId="176" fontId="54" fillId="0" borderId="5" applyAlignment="1" pivotButton="0" quotePrefix="0" xfId="0">
      <alignment vertical="center"/>
    </xf>
    <xf numFmtId="176" fontId="53" fillId="0" borderId="5" applyAlignment="1" pivotButton="0" quotePrefix="0" xfId="0">
      <alignment vertical="center"/>
    </xf>
    <xf numFmtId="176" fontId="54" fillId="0" borderId="0" applyAlignment="1" pivotButton="0" quotePrefix="0" xfId="0">
      <alignment vertical="center"/>
    </xf>
    <xf numFmtId="164" fontId="39" fillId="2" borderId="0" applyAlignment="1" pivotButton="0" quotePrefix="0" xfId="1">
      <alignment vertical="center"/>
    </xf>
    <xf numFmtId="0" fontId="27" fillId="2" borderId="0" applyAlignment="1" pivotButton="0" quotePrefix="0" xfId="0">
      <alignment horizontal="left" vertical="center"/>
    </xf>
    <xf numFmtId="164" fontId="39" fillId="2" borderId="0" applyAlignment="1" pivotButton="0" quotePrefix="0" xfId="1">
      <alignment horizontal="left" vertical="center"/>
    </xf>
    <xf numFmtId="0" fontId="56" fillId="0" borderId="0" applyAlignment="1" pivotButton="0" quotePrefix="0" xfId="0">
      <alignment horizontal="left" vertical="center"/>
    </xf>
    <xf numFmtId="0" fontId="56" fillId="0" borderId="0" applyAlignment="1" pivotButton="0" quotePrefix="0" xfId="0">
      <alignment vertical="center"/>
    </xf>
    <xf numFmtId="0" fontId="26" fillId="2" borderId="2" applyAlignment="1" pivotButton="0" quotePrefix="0" xfId="0">
      <alignment vertical="center"/>
    </xf>
    <xf numFmtId="165" fontId="0" fillId="0" borderId="0" applyAlignment="1" pivotButton="0" quotePrefix="0" xfId="1">
      <alignment vertical="center"/>
    </xf>
    <xf numFmtId="0" fontId="0" fillId="5" borderId="2" applyAlignment="1" pivotButton="0" quotePrefix="0" xfId="2">
      <alignment horizontal="center" vertical="center"/>
    </xf>
    <xf numFmtId="0" fontId="3" fillId="5" borderId="2" applyAlignment="1" pivotButton="0" quotePrefix="0" xfId="2">
      <alignment horizontal="left" vertical="center"/>
    </xf>
    <xf numFmtId="0" fontId="57" fillId="0" borderId="0" applyAlignment="1" pivotButton="0" quotePrefix="0" xfId="0">
      <alignment vertical="center"/>
    </xf>
    <xf numFmtId="164" fontId="4" fillId="0" borderId="0" applyAlignment="1" pivotButton="0" quotePrefix="0" xfId="1">
      <alignment vertical="center"/>
    </xf>
    <xf numFmtId="0" fontId="0" fillId="0" borderId="0" pivotButton="0" quotePrefix="0" xfId="0"/>
    <xf numFmtId="164" fontId="44" fillId="2" borderId="0" applyAlignment="1" pivotButton="0" quotePrefix="0" xfId="1">
      <alignment vertical="center"/>
    </xf>
    <xf numFmtId="165" fontId="0" fillId="2" borderId="0" applyAlignment="1" pivotButton="0" quotePrefix="0" xfId="1">
      <alignment vertical="center"/>
    </xf>
    <xf numFmtId="164" fontId="27" fillId="2" borderId="0" applyAlignment="1" pivotButton="0" quotePrefix="0" xfId="1">
      <alignment vertical="center"/>
    </xf>
    <xf numFmtId="164" fontId="25" fillId="2" borderId="0" applyAlignment="1" pivotButton="0" quotePrefix="0" xfId="1">
      <alignment vertical="center"/>
    </xf>
    <xf numFmtId="164" fontId="28" fillId="2" borderId="0" applyAlignment="1" pivotButton="0" quotePrefix="0" xfId="1">
      <alignment vertical="center"/>
    </xf>
    <xf numFmtId="177" fontId="0" fillId="2" borderId="0" applyAlignment="1" pivotButton="0" quotePrefix="0" xfId="1">
      <alignment vertical="center"/>
    </xf>
    <xf numFmtId="174" fontId="9" fillId="0" borderId="0" pivotButton="0" quotePrefix="0" xfId="2"/>
    <xf numFmtId="10" fontId="4" fillId="0" borderId="0" applyAlignment="1" pivotButton="0" quotePrefix="0" xfId="5">
      <alignment vertical="center"/>
    </xf>
    <xf numFmtId="165" fontId="9" fillId="0" borderId="0" pivotButton="0" quotePrefix="0" xfId="1"/>
    <xf numFmtId="178" fontId="0" fillId="0" borderId="0" applyAlignment="1" pivotButton="0" quotePrefix="0" xfId="1">
      <alignment vertical="center"/>
    </xf>
    <xf numFmtId="0" fontId="4" fillId="0" borderId="0" applyAlignment="1" pivotButton="0" quotePrefix="0" xfId="0">
      <alignment horizontal="right" vertical="center"/>
    </xf>
    <xf numFmtId="58" fontId="4" fillId="0" borderId="0" applyAlignment="1" pivotButton="0" quotePrefix="0" xfId="0">
      <alignment vertical="center"/>
    </xf>
    <xf numFmtId="165" fontId="4" fillId="2" borderId="0" applyAlignment="1" pivotButton="0" quotePrefix="0" xfId="1">
      <alignment vertical="center"/>
    </xf>
    <xf numFmtId="0" fontId="0" fillId="18" borderId="0" applyAlignment="1" pivotButton="0" quotePrefix="0" xfId="0">
      <alignment vertical="center"/>
    </xf>
    <xf numFmtId="10" fontId="25" fillId="2" borderId="0" applyAlignment="1" pivotButton="0" quotePrefix="0" xfId="5">
      <alignment vertical="center"/>
    </xf>
    <xf numFmtId="10" fontId="25" fillId="2" borderId="0" applyAlignment="1" pivotButton="0" quotePrefix="0" xfId="5">
      <alignment horizontal="left" vertical="center"/>
    </xf>
    <xf numFmtId="164" fontId="27" fillId="2" borderId="0" applyAlignment="1" pivotButton="0" quotePrefix="0" xfId="1">
      <alignment horizontal="left" vertical="center"/>
    </xf>
    <xf numFmtId="58" fontId="8" fillId="0" borderId="0" pivotButton="0" quotePrefix="0" xfId="2"/>
    <xf numFmtId="169" fontId="0" fillId="0" borderId="0" applyAlignment="1" pivotButton="0" quotePrefix="0" xfId="0">
      <alignment vertical="center"/>
    </xf>
    <xf numFmtId="165" fontId="4" fillId="0" borderId="0" applyAlignment="1" pivotButton="0" quotePrefix="0" xfId="1">
      <alignment vertical="center"/>
    </xf>
    <xf numFmtId="165" fontId="0" fillId="0" borderId="0" applyAlignment="1" pivotButton="0" quotePrefix="0" xfId="0">
      <alignment vertical="center"/>
    </xf>
    <xf numFmtId="0" fontId="0" fillId="0" borderId="0" applyAlignment="1" pivotButton="0" quotePrefix="0" xfId="1">
      <alignment vertical="center"/>
    </xf>
    <xf numFmtId="10" fontId="8" fillId="0" borderId="0" pivotButton="0" quotePrefix="0" xfId="5"/>
    <xf numFmtId="14" fontId="8" fillId="0" borderId="0" pivotButton="0" quotePrefix="0" xfId="1"/>
    <xf numFmtId="0" fontId="8" fillId="0" borderId="6" pivotButton="0" quotePrefix="0" xfId="2"/>
    <xf numFmtId="10" fontId="8" fillId="0" borderId="6" pivotButton="0" quotePrefix="0" xfId="5"/>
    <xf numFmtId="14" fontId="8" fillId="0" borderId="6" pivotButton="0" quotePrefix="0" xfId="2"/>
    <xf numFmtId="165" fontId="8" fillId="0" borderId="6" pivotButton="0" quotePrefix="0" xfId="1"/>
    <xf numFmtId="14" fontId="8" fillId="0" borderId="6" pivotButton="0" quotePrefix="0" xfId="1"/>
    <xf numFmtId="58" fontId="8" fillId="0" borderId="6" pivotButton="0" quotePrefix="0" xfId="2"/>
    <xf numFmtId="165" fontId="0" fillId="21" borderId="0" applyAlignment="1" pivotButton="0" quotePrefix="0" xfId="1">
      <alignment vertical="center"/>
    </xf>
    <xf numFmtId="166" fontId="0" fillId="21" borderId="0" applyAlignment="1" pivotButton="0" quotePrefix="0" xfId="1">
      <alignment vertical="center"/>
    </xf>
    <xf numFmtId="164" fontId="0" fillId="21" borderId="0" applyAlignment="1" pivotButton="0" quotePrefix="0" xfId="1">
      <alignment vertical="center"/>
    </xf>
    <xf numFmtId="0" fontId="8" fillId="0" borderId="7" pivotButton="0" quotePrefix="0" xfId="2"/>
    <xf numFmtId="10" fontId="8" fillId="0" borderId="7" pivotButton="0" quotePrefix="0" xfId="5"/>
    <xf numFmtId="14" fontId="8" fillId="0" borderId="7" pivotButton="0" quotePrefix="0" xfId="2"/>
    <xf numFmtId="165" fontId="8" fillId="0" borderId="7" pivotButton="0" quotePrefix="0" xfId="1"/>
    <xf numFmtId="14" fontId="8" fillId="0" borderId="7" pivotButton="0" quotePrefix="0" xfId="1"/>
    <xf numFmtId="173" fontId="8" fillId="0" borderId="7" pivotButton="0" quotePrefix="0" xfId="2"/>
    <xf numFmtId="165" fontId="8" fillId="0" borderId="0" pivotButton="0" quotePrefix="0" xfId="1"/>
    <xf numFmtId="166" fontId="57" fillId="0" borderId="0" applyAlignment="1" pivotButton="0" quotePrefix="0" xfId="1">
      <alignment vertical="center"/>
    </xf>
    <xf numFmtId="166" fontId="0" fillId="0" borderId="0" applyAlignment="1" pivotButton="0" quotePrefix="0" xfId="1">
      <alignment horizontal="right" vertical="center"/>
    </xf>
    <xf numFmtId="165" fontId="26" fillId="2" borderId="0" applyAlignment="1" pivotButton="0" quotePrefix="0" xfId="1">
      <alignment vertical="center"/>
    </xf>
    <xf numFmtId="165" fontId="26" fillId="0" borderId="0" applyAlignment="1" pivotButton="0" quotePrefix="0" xfId="1">
      <alignment vertical="center"/>
    </xf>
    <xf numFmtId="10" fontId="47" fillId="0" borderId="0" pivotButton="0" quotePrefix="0" xfId="5"/>
    <xf numFmtId="10" fontId="47" fillId="0" borderId="0" pivotButton="0" quotePrefix="0" xfId="5"/>
    <xf numFmtId="165" fontId="47" fillId="0" borderId="0" pivotButton="0" quotePrefix="0" xfId="1"/>
    <xf numFmtId="165" fontId="47" fillId="0" borderId="4" pivotButton="0" quotePrefix="0" xfId="1"/>
    <xf numFmtId="9" fontId="0" fillId="0" borderId="0" applyAlignment="1" pivotButton="0" quotePrefix="0" xfId="5">
      <alignment vertical="center"/>
    </xf>
    <xf numFmtId="0" fontId="9" fillId="12" borderId="0" applyAlignment="1" pivotButton="0" quotePrefix="0" xfId="0">
      <alignment vertical="center"/>
    </xf>
    <xf numFmtId="9" fontId="9" fillId="12" borderId="0" applyAlignment="1" pivotButton="0" quotePrefix="0" xfId="0">
      <alignment vertical="center"/>
    </xf>
    <xf numFmtId="165" fontId="5" fillId="0" borderId="0" applyAlignment="1" pivotButton="0" quotePrefix="0" xfId="0">
      <alignment vertical="center"/>
    </xf>
    <xf numFmtId="14" fontId="5" fillId="0" borderId="0" applyAlignment="1" pivotButton="0" quotePrefix="0" xfId="0">
      <alignment vertical="center"/>
    </xf>
    <xf numFmtId="164" fontId="4" fillId="0" borderId="0" applyAlignment="1" pivotButton="0" quotePrefix="0" xfId="1">
      <alignment horizontal="right" vertical="center"/>
    </xf>
    <xf numFmtId="165" fontId="47" fillId="0" borderId="0" pivotButton="0" quotePrefix="0" xfId="1"/>
    <xf numFmtId="0" fontId="0" fillId="6" borderId="8" applyAlignment="1" pivotButton="0" quotePrefix="0" xfId="2">
      <alignment horizontal="center" vertical="center"/>
    </xf>
    <xf numFmtId="14" fontId="0" fillId="0" borderId="0" pivotButton="0" quotePrefix="0" xfId="0"/>
    <xf numFmtId="164" fontId="0" fillId="0" borderId="0" pivotButton="0" quotePrefix="0" xfId="0"/>
    <xf numFmtId="10" fontId="5" fillId="0" borderId="0" pivotButton="0" quotePrefix="0" xfId="5"/>
    <xf numFmtId="168" fontId="9" fillId="0" borderId="0" pivotButton="0" quotePrefix="0" xfId="1"/>
    <xf numFmtId="14" fontId="0" fillId="0" borderId="0" applyAlignment="1" pivotButton="0" quotePrefix="0" xfId="8">
      <alignment vertical="center"/>
    </xf>
    <xf numFmtId="0" fontId="0" fillId="0" borderId="0" applyAlignment="1" pivotButton="0" quotePrefix="0" xfId="8">
      <alignment vertical="center"/>
    </xf>
    <xf numFmtId="164" fontId="0" fillId="0" borderId="0" applyAlignment="1" pivotButton="0" quotePrefix="0" xfId="8">
      <alignment vertical="center"/>
    </xf>
    <xf numFmtId="164" fontId="0" fillId="0" borderId="0" applyAlignment="1" pivotButton="0" quotePrefix="0" xfId="9">
      <alignment vertical="center"/>
    </xf>
    <xf numFmtId="0" fontId="0" fillId="0" borderId="0" pivotButton="0" quotePrefix="0" xfId="2"/>
    <xf numFmtId="164" fontId="0" fillId="0" borderId="0" pivotButton="0" quotePrefix="0" xfId="2"/>
    <xf numFmtId="0" fontId="0" fillId="6" borderId="0" pivotButton="0" quotePrefix="0" xfId="2"/>
    <xf numFmtId="168" fontId="0" fillId="6" borderId="0" pivotButton="0" quotePrefix="0" xfId="1"/>
    <xf numFmtId="168" fontId="0" fillId="0" borderId="0" pivotButton="0" quotePrefix="0" xfId="1"/>
    <xf numFmtId="0" fontId="0" fillId="0" borderId="0" applyAlignment="1" pivotButton="0" quotePrefix="0" xfId="2">
      <alignment horizontal="right"/>
    </xf>
    <xf numFmtId="168" fontId="4" fillId="0" borderId="0" applyAlignment="1" pivotButton="0" quotePrefix="0" xfId="1">
      <alignment vertical="center"/>
    </xf>
    <xf numFmtId="14" fontId="0" fillId="22" borderId="0" applyAlignment="1" pivotButton="0" quotePrefix="0" xfId="0">
      <alignment vertical="center"/>
    </xf>
    <xf numFmtId="0" fontId="0" fillId="22" borderId="0" applyAlignment="1" pivotButton="0" quotePrefix="0" xfId="0">
      <alignment vertical="center"/>
    </xf>
    <xf numFmtId="165" fontId="0" fillId="22" borderId="0" applyAlignment="1" pivotButton="0" quotePrefix="0" xfId="1">
      <alignment vertical="center"/>
    </xf>
    <xf numFmtId="10" fontId="0" fillId="22" borderId="0" applyAlignment="1" pivotButton="0" quotePrefix="0" xfId="5">
      <alignment vertical="center"/>
    </xf>
    <xf numFmtId="164" fontId="0" fillId="22" borderId="0" applyAlignment="1" pivotButton="0" quotePrefix="0" xfId="1">
      <alignment vertical="center"/>
    </xf>
    <xf numFmtId="58" fontId="0" fillId="22" borderId="0" applyAlignment="1" pivotButton="0" quotePrefix="0" xfId="0">
      <alignment vertical="center"/>
    </xf>
    <xf numFmtId="165" fontId="0" fillId="22" borderId="0" applyAlignment="1" pivotButton="0" quotePrefix="0" xfId="0">
      <alignment vertical="center"/>
    </xf>
    <xf numFmtId="179" fontId="0" fillId="0" borderId="0" applyAlignment="1" pivotButton="0" quotePrefix="0" xfId="0">
      <alignment vertical="center"/>
    </xf>
    <xf numFmtId="0" fontId="0" fillId="0" borderId="0" applyAlignment="1" pivotButton="0" quotePrefix="0" xfId="5">
      <alignment vertical="center"/>
    </xf>
    <xf numFmtId="165" fontId="4" fillId="2" borderId="0" applyAlignment="1" pivotButton="0" quotePrefix="0" xfId="1">
      <alignment vertical="center"/>
    </xf>
    <xf numFmtId="0" fontId="9" fillId="0" borderId="0" applyAlignment="1" pivotButton="0" quotePrefix="0" xfId="2">
      <alignment horizontal="right"/>
    </xf>
    <xf numFmtId="180" fontId="0" fillId="0" borderId="0" applyAlignment="1" pivotButton="0" quotePrefix="0" xfId="0">
      <alignment vertical="center"/>
    </xf>
    <xf numFmtId="165" fontId="47" fillId="2" borderId="0" pivotButton="0" quotePrefix="0" xfId="1"/>
    <xf numFmtId="2" fontId="0" fillId="2" borderId="0" applyAlignment="1" pivotButton="0" quotePrefix="0" xfId="0">
      <alignment vertical="center"/>
    </xf>
    <xf numFmtId="168" fontId="0" fillId="22" borderId="0" applyAlignment="1" pivotButton="0" quotePrefix="0" xfId="0">
      <alignment vertical="center"/>
    </xf>
    <xf numFmtId="169" fontId="0" fillId="22" borderId="0" applyAlignment="1" pivotButton="0" quotePrefix="0" xfId="0">
      <alignment vertical="center"/>
    </xf>
    <xf numFmtId="0" fontId="0" fillId="22" borderId="0" applyAlignment="1" pivotButton="0" quotePrefix="0" xfId="1">
      <alignment vertical="center"/>
    </xf>
    <xf numFmtId="164" fontId="0" fillId="0" borderId="0" applyAlignment="1" pivotButton="0" quotePrefix="0" xfId="1">
      <alignment horizontal="right" vertical="center"/>
    </xf>
    <xf numFmtId="164" fontId="60" fillId="2" borderId="0" applyAlignment="1" pivotButton="0" quotePrefix="0" xfId="1">
      <alignment vertical="center"/>
    </xf>
    <xf numFmtId="4" fontId="0" fillId="2" borderId="0" applyAlignment="1" pivotButton="0" quotePrefix="0" xfId="0">
      <alignment vertical="center"/>
    </xf>
    <xf numFmtId="164" fontId="5" fillId="2" borderId="0" applyAlignment="1" pivotButton="0" quotePrefix="0" xfId="1">
      <alignment vertical="center"/>
    </xf>
    <xf numFmtId="0" fontId="58" fillId="0" borderId="0" applyAlignment="1" pivotButton="0" quotePrefix="0" xfId="1">
      <alignment vertical="center"/>
    </xf>
    <xf numFmtId="166" fontId="0" fillId="0" borderId="0" applyAlignment="1" pivotButton="0" quotePrefix="0" xfId="1">
      <alignment vertical="center"/>
    </xf>
    <xf numFmtId="168" fontId="0" fillId="0" borderId="0" applyAlignment="1" pivotButton="0" quotePrefix="0" xfId="0">
      <alignment vertical="center"/>
    </xf>
    <xf numFmtId="1" fontId="4" fillId="2" borderId="0" applyAlignment="1" pivotButton="0" quotePrefix="0" xfId="0">
      <alignment vertical="center"/>
    </xf>
    <xf numFmtId="181" fontId="0" fillId="0" borderId="0" applyAlignment="1" pivotButton="0" quotePrefix="0" xfId="0">
      <alignment vertical="center"/>
    </xf>
    <xf numFmtId="0" fontId="3" fillId="5" borderId="8" applyAlignment="1" pivotButton="0" quotePrefix="0" xfId="2">
      <alignment horizontal="center" vertical="center"/>
    </xf>
    <xf numFmtId="14" fontId="3" fillId="5" borderId="8" applyAlignment="1" pivotButton="0" quotePrefix="0" xfId="3">
      <alignment horizontal="center" vertical="center"/>
    </xf>
    <xf numFmtId="10" fontId="3" fillId="5" borderId="8" applyAlignment="1" pivotButton="0" quotePrefix="0" xfId="3">
      <alignment horizontal="center" vertical="center"/>
    </xf>
    <xf numFmtId="10" fontId="3" fillId="0" borderId="8" pivotButton="0" quotePrefix="0" xfId="2"/>
    <xf numFmtId="164" fontId="3" fillId="5" borderId="8" applyAlignment="1" pivotButton="0" quotePrefix="0" xfId="3">
      <alignment horizontal="center" vertical="center"/>
    </xf>
    <xf numFmtId="0" fontId="3" fillId="0" borderId="8" applyAlignment="1" pivotButton="0" quotePrefix="0" xfId="2">
      <alignment horizontal="center" vertical="center"/>
    </xf>
    <xf numFmtId="167" fontId="3" fillId="0" borderId="8" applyAlignment="1" pivotButton="0" quotePrefix="0" xfId="3">
      <alignment horizontal="center" vertical="center"/>
    </xf>
    <xf numFmtId="0" fontId="0" fillId="5" borderId="8" applyAlignment="1" pivotButton="0" quotePrefix="0" xfId="2">
      <alignment horizontal="center" vertical="center"/>
    </xf>
    <xf numFmtId="14" fontId="0" fillId="5" borderId="8" applyAlignment="1" pivotButton="0" quotePrefix="0" xfId="3">
      <alignment horizontal="center" vertical="center"/>
    </xf>
    <xf numFmtId="10" fontId="0" fillId="5" borderId="8" applyAlignment="1" pivotButton="0" quotePrefix="0" xfId="3">
      <alignment horizontal="center" vertical="center"/>
    </xf>
    <xf numFmtId="10" fontId="0" fillId="0" borderId="8" pivotButton="0" quotePrefix="0" xfId="2"/>
    <xf numFmtId="164" fontId="0" fillId="5" borderId="8" applyAlignment="1" pivotButton="0" quotePrefix="0" xfId="3">
      <alignment horizontal="center" vertical="center"/>
    </xf>
    <xf numFmtId="0" fontId="0" fillId="0" borderId="8" applyAlignment="1" pivotButton="0" quotePrefix="0" xfId="2">
      <alignment horizontal="center" vertical="center"/>
    </xf>
    <xf numFmtId="167" fontId="0" fillId="0" borderId="8" applyAlignment="1" pivotButton="0" quotePrefix="0" xfId="3">
      <alignment horizontal="center" vertical="center"/>
    </xf>
    <xf numFmtId="171" fontId="61" fillId="0" borderId="0" applyAlignment="1" pivotButton="0" quotePrefix="0" xfId="2">
      <alignment vertical="center"/>
    </xf>
    <xf numFmtId="58" fontId="61" fillId="0" borderId="0" applyAlignment="1" pivotButton="0" quotePrefix="0" xfId="2">
      <alignment vertical="center"/>
    </xf>
    <xf numFmtId="0" fontId="61" fillId="0" borderId="0" applyAlignment="1" pivotButton="0" quotePrefix="0" xfId="2">
      <alignment vertical="center"/>
    </xf>
    <xf numFmtId="166" fontId="5" fillId="0" borderId="0" applyAlignment="1" pivotButton="0" quotePrefix="0" xfId="1">
      <alignment vertical="center"/>
    </xf>
    <xf numFmtId="172" fontId="0" fillId="2" borderId="0" applyAlignment="1" pivotButton="0" quotePrefix="0" xfId="5">
      <alignment vertical="center"/>
    </xf>
    <xf numFmtId="169" fontId="0" fillId="2" borderId="0" applyAlignment="1" pivotButton="0" quotePrefix="0" xfId="0">
      <alignment vertical="center"/>
    </xf>
    <xf numFmtId="167" fontId="0" fillId="2" borderId="0" applyAlignment="1" pivotButton="0" quotePrefix="0" xfId="1">
      <alignment vertical="center"/>
    </xf>
    <xf numFmtId="14" fontId="0" fillId="6" borderId="0" applyAlignment="1" pivotButton="0" quotePrefix="0" xfId="0">
      <alignment horizontal="center" vertical="center"/>
    </xf>
    <xf numFmtId="166" fontId="4" fillId="0" borderId="0" applyAlignment="1" pivotButton="0" quotePrefix="0" xfId="1">
      <alignment vertical="center"/>
    </xf>
    <xf numFmtId="10" fontId="0" fillId="22" borderId="0" applyAlignment="1" pivotButton="0" quotePrefix="0" xfId="0">
      <alignment vertical="center"/>
    </xf>
    <xf numFmtId="176" fontId="53" fillId="0" borderId="0" applyAlignment="1" pivotButton="0" quotePrefix="0" xfId="0">
      <alignment vertical="center"/>
    </xf>
    <xf numFmtId="165" fontId="53" fillId="0" borderId="0" applyAlignment="1" pivotButton="0" quotePrefix="0" xfId="1">
      <alignment vertical="center"/>
    </xf>
    <xf numFmtId="10" fontId="0" fillId="2" borderId="0" applyAlignment="1" pivotButton="0" quotePrefix="0" xfId="5">
      <alignment vertical="center"/>
    </xf>
    <xf numFmtId="168" fontId="0" fillId="2" borderId="0" applyAlignment="1" pivotButton="0" quotePrefix="0" xfId="0">
      <alignment vertical="center"/>
    </xf>
    <xf numFmtId="0" fontId="67" fillId="6" borderId="0" applyAlignment="1" pivotButton="0" quotePrefix="0" xfId="0">
      <alignment vertical="center"/>
    </xf>
    <xf numFmtId="58" fontId="5" fillId="0" borderId="0" applyAlignment="1" pivotButton="0" quotePrefix="0" xfId="0">
      <alignment vertical="center"/>
    </xf>
    <xf numFmtId="0" fontId="0" fillId="2" borderId="0" applyAlignment="1" pivotButton="0" quotePrefix="0" xfId="2">
      <alignment horizontal="left" vertical="center"/>
    </xf>
    <xf numFmtId="0" fontId="0" fillId="2" borderId="0" applyAlignment="1" pivotButton="0" quotePrefix="0" xfId="1">
      <alignment vertical="center"/>
    </xf>
    <xf numFmtId="0" fontId="59" fillId="0" borderId="0" applyAlignment="1" pivotButton="0" quotePrefix="0" xfId="0">
      <alignment vertical="center"/>
    </xf>
    <xf numFmtId="10" fontId="59" fillId="0" borderId="0" applyAlignment="1" pivotButton="0" quotePrefix="0" xfId="0">
      <alignment vertical="center"/>
    </xf>
    <xf numFmtId="9" fontId="7" fillId="0" borderId="0" applyAlignment="1" pivotButton="0" quotePrefix="0" xfId="2">
      <alignment vertical="center"/>
    </xf>
    <xf numFmtId="14" fontId="0" fillId="5" borderId="2" applyAlignment="1" pivotButton="0" quotePrefix="0" xfId="3">
      <alignment horizontal="center" vertical="center"/>
    </xf>
    <xf numFmtId="0" fontId="5" fillId="0" borderId="0" applyAlignment="1" pivotButton="0" quotePrefix="0" xfId="1">
      <alignment vertical="center"/>
    </xf>
    <xf numFmtId="58" fontId="5" fillId="22" borderId="0" applyAlignment="1" pivotButton="0" quotePrefix="0" xfId="0">
      <alignment horizontal="left" vertical="center"/>
    </xf>
    <xf numFmtId="165" fontId="0" fillId="22" borderId="0" applyAlignment="1" pivotButton="0" quotePrefix="0" xfId="1">
      <alignment vertical="center"/>
    </xf>
    <xf numFmtId="13" fontId="0" fillId="0" borderId="0" applyAlignment="1" pivotButton="0" quotePrefix="0" xfId="1">
      <alignment vertical="center"/>
    </xf>
    <xf numFmtId="10" fontId="0" fillId="0" borderId="0" applyAlignment="1" pivotButton="0" quotePrefix="0" xfId="5">
      <alignment vertical="center"/>
    </xf>
    <xf numFmtId="166" fontId="0" fillId="0" borderId="0" applyAlignment="1" pivotButton="0" quotePrefix="0" xfId="1">
      <alignment vertical="center"/>
    </xf>
    <xf numFmtId="14" fontId="0" fillId="0" borderId="0" pivotButton="0" quotePrefix="0" xfId="2"/>
    <xf numFmtId="164" fontId="0" fillId="0" borderId="0" pivotButton="0" quotePrefix="0" xfId="1"/>
    <xf numFmtId="164" fontId="67" fillId="0" borderId="0" applyAlignment="1" pivotButton="0" quotePrefix="0" xfId="0">
      <alignment vertical="center"/>
    </xf>
    <xf numFmtId="58" fontId="26" fillId="0" borderId="0" applyAlignment="1" pivotButton="0" quotePrefix="0" xfId="0">
      <alignment vertical="center"/>
    </xf>
    <xf numFmtId="176" fontId="54" fillId="0" borderId="9" applyAlignment="1" pivotButton="0" quotePrefix="0" xfId="0">
      <alignment vertical="center"/>
    </xf>
    <xf numFmtId="165" fontId="47" fillId="6" borderId="0" pivotButton="0" quotePrefix="0" xfId="1"/>
    <xf numFmtId="165" fontId="47" fillId="6" borderId="0" pivotButton="0" quotePrefix="0" xfId="1"/>
    <xf numFmtId="0" fontId="26" fillId="22" borderId="0" applyAlignment="1" pivotButton="0" quotePrefix="0" xfId="0">
      <alignment vertical="center"/>
    </xf>
    <xf numFmtId="165" fontId="26" fillId="2" borderId="0" applyAlignment="1" pivotButton="0" quotePrefix="0" xfId="1">
      <alignment vertical="center"/>
    </xf>
    <xf numFmtId="164" fontId="3" fillId="0" borderId="0" applyAlignment="1" pivotButton="0" quotePrefix="0" xfId="1">
      <alignment vertical="center"/>
    </xf>
    <xf numFmtId="0" fontId="0" fillId="2" borderId="0" applyAlignment="1" pivotButton="0" quotePrefix="0" xfId="5">
      <alignment vertical="center"/>
    </xf>
    <xf numFmtId="0" fontId="6" fillId="0" borderId="0" pivotButton="0" quotePrefix="0" xfId="2"/>
    <xf numFmtId="182" fontId="131" fillId="0" borderId="27" applyAlignment="1" pivotButton="0" quotePrefix="0" xfId="35305">
      <alignment horizontal="right" vertical="center"/>
    </xf>
    <xf numFmtId="165" fontId="0" fillId="22" borderId="0" applyAlignment="1" pivotButton="0" quotePrefix="0" xfId="1">
      <alignment vertical="center"/>
    </xf>
    <xf numFmtId="1" fontId="0" fillId="2" borderId="0" applyAlignment="1" pivotButton="0" quotePrefix="0" xfId="0">
      <alignment vertical="center"/>
    </xf>
    <xf numFmtId="183" fontId="0" fillId="0" borderId="0" applyAlignment="1" pivotButton="0" quotePrefix="0" xfId="0">
      <alignment vertical="center"/>
    </xf>
    <xf numFmtId="166" fontId="26" fillId="2" borderId="0" applyAlignment="1" pivotButton="0" quotePrefix="0" xfId="1">
      <alignment vertical="center"/>
    </xf>
    <xf numFmtId="49" fontId="82" fillId="2" borderId="2" applyAlignment="1" pivotButton="0" quotePrefix="0" xfId="6">
      <alignment horizontal="left" vertical="center"/>
    </xf>
    <xf numFmtId="0" fontId="0" fillId="2" borderId="2" applyAlignment="1" pivotButton="0" quotePrefix="0" xfId="2">
      <alignment horizontal="left" vertical="center"/>
    </xf>
    <xf numFmtId="164" fontId="26" fillId="2" borderId="0" applyAlignment="1" pivotButton="0" quotePrefix="0" xfId="1">
      <alignment vertical="center"/>
    </xf>
    <xf numFmtId="168" fontId="0" fillId="0" borderId="0" applyAlignment="1" pivotButton="0" quotePrefix="0" xfId="8">
      <alignment vertical="center"/>
    </xf>
    <xf numFmtId="164" fontId="0" fillId="6" borderId="0" applyAlignment="1" pivotButton="0" quotePrefix="0" xfId="1">
      <alignment vertical="center"/>
    </xf>
    <xf numFmtId="0" fontId="40" fillId="2" borderId="0" applyAlignment="1" pivotButton="0" quotePrefix="0" xfId="1">
      <alignment vertical="center"/>
    </xf>
    <xf numFmtId="164" fontId="0" fillId="22" borderId="0" applyAlignment="1" pivotButton="0" quotePrefix="0" xfId="0">
      <alignment vertical="center"/>
    </xf>
    <xf numFmtId="0" fontId="62" fillId="13" borderId="3" applyAlignment="1" pivotButton="0" quotePrefix="0" xfId="0">
      <alignment horizontal="left" vertical="center"/>
    </xf>
    <xf numFmtId="4" fontId="62" fillId="13" borderId="3" applyAlignment="1" pivotButton="0" quotePrefix="0" xfId="0">
      <alignment horizontal="right" vertical="center"/>
    </xf>
    <xf numFmtId="4" fontId="63" fillId="13" borderId="3" applyAlignment="1" pivotButton="0" quotePrefix="0" xfId="0">
      <alignment horizontal="right" vertical="center"/>
    </xf>
    <xf numFmtId="58" fontId="51" fillId="2" borderId="0" applyAlignment="1" pivotButton="0" quotePrefix="0" xfId="0">
      <alignment vertical="center"/>
    </xf>
    <xf numFmtId="165" fontId="51" fillId="2" borderId="0" applyAlignment="1" pivotButton="0" quotePrefix="0" xfId="1">
      <alignment vertical="center"/>
    </xf>
    <xf numFmtId="0" fontId="57" fillId="2" borderId="0" applyAlignment="1" pivotButton="0" quotePrefix="0" xfId="0">
      <alignment vertical="center"/>
    </xf>
    <xf numFmtId="58" fontId="57" fillId="2" borderId="0" applyAlignment="1" pivotButton="0" quotePrefix="0" xfId="0">
      <alignment vertical="center"/>
    </xf>
    <xf numFmtId="165" fontId="57" fillId="2" borderId="0" applyAlignment="1" pivotButton="0" quotePrefix="0" xfId="1">
      <alignment vertical="center"/>
    </xf>
    <xf numFmtId="0" fontId="51" fillId="2" borderId="0" applyAlignment="1" pivotButton="0" quotePrefix="1" xfId="0">
      <alignment vertical="center"/>
    </xf>
    <xf numFmtId="58" fontId="8" fillId="0" borderId="0" pivotButton="0" quotePrefix="0" xfId="1"/>
    <xf numFmtId="0" fontId="37" fillId="0" borderId="0" applyAlignment="1" pivotButton="0" quotePrefix="0" xfId="1">
      <alignment vertical="center"/>
    </xf>
    <xf numFmtId="166" fontId="37" fillId="0" borderId="0" applyAlignment="1" pivotButton="0" quotePrefix="0" xfId="1">
      <alignment vertical="center"/>
    </xf>
    <xf numFmtId="165" fontId="37" fillId="0" borderId="0" applyAlignment="1" pivotButton="0" quotePrefix="0" xfId="1">
      <alignment vertical="center"/>
    </xf>
    <xf numFmtId="10" fontId="37" fillId="0" borderId="0" applyAlignment="1" pivotButton="0" quotePrefix="0" xfId="0">
      <alignment vertical="center"/>
    </xf>
    <xf numFmtId="165" fontId="26" fillId="0" borderId="0" applyAlignment="1" pivotButton="0" quotePrefix="0" xfId="1">
      <alignment vertical="center"/>
    </xf>
    <xf numFmtId="165" fontId="4" fillId="0" borderId="0" applyAlignment="1" pivotButton="0" quotePrefix="0" xfId="1">
      <alignment vertical="center"/>
    </xf>
    <xf numFmtId="176" fontId="53" fillId="0" borderId="9" applyAlignment="1" pivotButton="0" quotePrefix="0" xfId="0">
      <alignment vertical="center"/>
    </xf>
    <xf numFmtId="184" fontId="0" fillId="0" borderId="0" applyAlignment="1" pivotButton="0" quotePrefix="0" xfId="0">
      <alignment vertical="center"/>
    </xf>
    <xf numFmtId="58" fontId="26" fillId="2" borderId="0" applyAlignment="1" pivotButton="0" quotePrefix="0" xfId="0">
      <alignment vertical="center"/>
    </xf>
    <xf numFmtId="172" fontId="0" fillId="2" borderId="0" applyAlignment="1" pivotButton="0" quotePrefix="0" xfId="0">
      <alignment vertical="center"/>
    </xf>
    <xf numFmtId="167" fontId="0" fillId="0" borderId="0" applyAlignment="1" pivotButton="0" quotePrefix="0" xfId="0">
      <alignment vertical="center"/>
    </xf>
    <xf numFmtId="185" fontId="0" fillId="0" borderId="0" applyAlignment="1" pivotButton="0" quotePrefix="0" xfId="1">
      <alignment vertical="center"/>
    </xf>
    <xf numFmtId="165" fontId="26" fillId="0" borderId="0" applyAlignment="1" pivotButton="0" quotePrefix="0" xfId="1">
      <alignment vertical="center"/>
    </xf>
    <xf numFmtId="165" fontId="5" fillId="0" borderId="0" applyAlignment="1" pivotButton="0" quotePrefix="0" xfId="1">
      <alignment vertical="center"/>
    </xf>
    <xf numFmtId="58" fontId="5" fillId="22" borderId="0" applyAlignment="1" pivotButton="0" quotePrefix="0" xfId="0">
      <alignment vertical="center"/>
    </xf>
    <xf numFmtId="0" fontId="29" fillId="13" borderId="28" applyAlignment="1" pivotButton="0" quotePrefix="0" xfId="0">
      <alignment horizontal="left" vertical="center"/>
    </xf>
    <xf numFmtId="4" fontId="29" fillId="13" borderId="28" applyAlignment="1" pivotButton="0" quotePrefix="0" xfId="0">
      <alignment horizontal="right" vertical="center"/>
    </xf>
    <xf numFmtId="4" fontId="132" fillId="13" borderId="28" applyAlignment="1" pivotButton="0" quotePrefix="0" xfId="0">
      <alignment horizontal="righ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58" fontId="0" fillId="0" borderId="33" applyAlignment="1" pivotButton="0" quotePrefix="0" xfId="0">
      <alignment vertical="center"/>
    </xf>
    <xf numFmtId="168" fontId="0" fillId="0" borderId="33" applyAlignment="1" pivotButton="0" quotePrefix="0" xfId="1">
      <alignment vertical="center"/>
    </xf>
    <xf numFmtId="164" fontId="4" fillId="0" borderId="0" applyAlignment="1" pivotButton="0" quotePrefix="0" xfId="1">
      <alignment vertical="center"/>
    </xf>
    <xf numFmtId="164" fontId="4" fillId="0" borderId="33" applyAlignment="1" pivotButton="0" quotePrefix="0" xfId="0">
      <alignment vertical="center"/>
    </xf>
    <xf numFmtId="164" fontId="0" fillId="0" borderId="33" applyAlignment="1" pivotButton="0" quotePrefix="0" xfId="1">
      <alignment vertical="center"/>
    </xf>
    <xf numFmtId="10" fontId="0" fillId="0" borderId="33" applyAlignment="1" pivotButton="0" quotePrefix="0" xfId="5">
      <alignment vertical="center"/>
    </xf>
    <xf numFmtId="58" fontId="0" fillId="0" borderId="32" applyAlignment="1" pivotButton="0" quotePrefix="0" xfId="0">
      <alignment vertical="center"/>
    </xf>
    <xf numFmtId="168" fontId="0" fillId="0" borderId="33" applyAlignment="1" pivotButton="0" quotePrefix="0" xfId="0">
      <alignment vertical="center"/>
    </xf>
    <xf numFmtId="165" fontId="4" fillId="0" borderId="0" applyAlignment="1" pivotButton="0" quotePrefix="0" xfId="0">
      <alignment vertical="center"/>
    </xf>
    <xf numFmtId="58" fontId="5" fillId="2" borderId="0" applyAlignment="1" pivotButton="0" quotePrefix="0" xfId="0">
      <alignment vertical="center"/>
    </xf>
    <xf numFmtId="10" fontId="0" fillId="0" borderId="0" pivotButton="0" quotePrefix="0" xfId="5"/>
    <xf numFmtId="0" fontId="0" fillId="0" borderId="0" applyAlignment="1" pivotButton="0" quotePrefix="0" xfId="2">
      <alignment horizontal="left"/>
    </xf>
    <xf numFmtId="171" fontId="0" fillId="0" borderId="0" applyAlignment="1" pivotButton="0" quotePrefix="0" xfId="0">
      <alignment horizontal="center" vertical="center"/>
    </xf>
    <xf numFmtId="166" fontId="0" fillId="0" borderId="0" applyAlignment="1" pivotButton="0" quotePrefix="0" xfId="1">
      <alignment horizontal="center" vertical="center"/>
    </xf>
    <xf numFmtId="49" fontId="51" fillId="0" borderId="27" applyAlignment="1" pivotButton="0" quotePrefix="0" xfId="0">
      <alignment horizontal="left" vertical="center"/>
    </xf>
    <xf numFmtId="174" fontId="0" fillId="0" borderId="0" applyAlignment="1" pivotButton="0" quotePrefix="0" xfId="5">
      <alignment vertical="center"/>
    </xf>
    <xf numFmtId="171" fontId="0" fillId="0" borderId="0" pivotButton="0" quotePrefix="0" xfId="2"/>
    <xf numFmtId="164" fontId="3" fillId="0" borderId="0" pivotButton="0" quotePrefix="0" xfId="4"/>
    <xf numFmtId="168" fontId="0" fillId="0" borderId="0" pivotButton="0" quotePrefix="0" xfId="2"/>
    <xf numFmtId="0" fontId="0" fillId="0" borderId="33" pivotButton="0" quotePrefix="0" xfId="0"/>
    <xf numFmtId="168" fontId="0" fillId="0" borderId="0" applyAlignment="1" pivotButton="0" quotePrefix="0" xfId="1">
      <alignment horizontal="center" vertical="center"/>
    </xf>
    <xf numFmtId="166" fontId="0" fillId="22" borderId="0" applyAlignment="1" pivotButton="0" quotePrefix="0" xfId="1">
      <alignment vertical="center"/>
    </xf>
    <xf numFmtId="10" fontId="0" fillId="22" borderId="0" applyAlignment="1" pivotButton="0" quotePrefix="0" xfId="1">
      <alignment vertical="center"/>
    </xf>
    <xf numFmtId="58" fontId="0" fillId="22" borderId="0" applyAlignment="1" pivotButton="0" quotePrefix="0" xfId="1">
      <alignment vertical="center"/>
    </xf>
    <xf numFmtId="10" fontId="26" fillId="22" borderId="0" applyAlignment="1" pivotButton="0" quotePrefix="0" xfId="1">
      <alignment vertical="center"/>
    </xf>
    <xf numFmtId="165" fontId="0" fillId="6" borderId="0" applyAlignment="1" pivotButton="0" quotePrefix="0" xfId="1">
      <alignment vertical="center"/>
    </xf>
    <xf numFmtId="14" fontId="0" fillId="5" borderId="27" applyAlignment="1" pivotButton="0" quotePrefix="0" xfId="3">
      <alignment horizontal="center" vertical="center"/>
    </xf>
    <xf numFmtId="0" fontId="3" fillId="5" borderId="27" applyAlignment="1" pivotButton="0" quotePrefix="0" xfId="2">
      <alignment horizontal="center" vertical="center"/>
    </xf>
    <xf numFmtId="14" fontId="3" fillId="5" borderId="27" applyAlignment="1" pivotButton="0" quotePrefix="0" xfId="3">
      <alignment horizontal="center" vertical="center"/>
    </xf>
    <xf numFmtId="10" fontId="3" fillId="5" borderId="27" applyAlignment="1" pivotButton="0" quotePrefix="0" xfId="3">
      <alignment horizontal="center" vertical="center"/>
    </xf>
    <xf numFmtId="10" fontId="3" fillId="0" borderId="27" pivotButton="0" quotePrefix="0" xfId="2"/>
    <xf numFmtId="164" fontId="3" fillId="5" borderId="27" applyAlignment="1" pivotButton="0" quotePrefix="0" xfId="3">
      <alignment horizontal="center" vertical="center"/>
    </xf>
    <xf numFmtId="0" fontId="3" fillId="0" borderId="27" applyAlignment="1" pivotButton="0" quotePrefix="0" xfId="2">
      <alignment horizontal="center" vertical="center"/>
    </xf>
    <xf numFmtId="167" fontId="3" fillId="0" borderId="27" applyAlignment="1" pivotButton="0" quotePrefix="0" xfId="3">
      <alignment horizontal="center" vertical="center"/>
    </xf>
    <xf numFmtId="0" fontId="55" fillId="0" borderId="0" pivotButton="0" quotePrefix="0" xfId="35306"/>
    <xf numFmtId="0" fontId="64" fillId="0" borderId="0" pivotButton="0" quotePrefix="0" xfId="35306"/>
    <xf numFmtId="0" fontId="65" fillId="0" borderId="0" pivotButton="0" quotePrefix="0" xfId="35306"/>
    <xf numFmtId="0" fontId="66" fillId="0" borderId="0" pivotButton="0" quotePrefix="0" xfId="35306"/>
    <xf numFmtId="0" fontId="0" fillId="2" borderId="0" applyAlignment="1" pivotButton="0" quotePrefix="0" xfId="0">
      <alignment horizontal="center" vertical="center"/>
    </xf>
    <xf numFmtId="0" fontId="0" fillId="22" borderId="0" applyAlignment="1" pivotButton="0" quotePrefix="0" xfId="0">
      <alignment vertical="center"/>
    </xf>
    <xf numFmtId="165" fontId="0" fillId="0" borderId="0" applyAlignment="1" pivotButton="0" quotePrefix="0" xfId="1">
      <alignment vertical="center"/>
    </xf>
    <xf numFmtId="164" fontId="0" fillId="0" borderId="0" applyAlignment="1" pivotButton="0" quotePrefix="0" xfId="1">
      <alignment vertical="center"/>
    </xf>
    <xf numFmtId="166" fontId="0" fillId="0" borderId="0" applyAlignment="1" pivotButton="0" quotePrefix="0" xfId="1">
      <alignment vertical="center"/>
    </xf>
    <xf numFmtId="164" fontId="0" fillId="0" borderId="1" applyAlignment="1" pivotButton="0" quotePrefix="0" xfId="1">
      <alignment vertical="center" wrapText="1"/>
    </xf>
    <xf numFmtId="166" fontId="0" fillId="0" borderId="1" applyAlignment="1" pivotButton="0" quotePrefix="0" xfId="1">
      <alignment vertical="center" wrapText="1"/>
    </xf>
    <xf numFmtId="164" fontId="0" fillId="0" borderId="1" applyAlignment="1" pivotButton="0" quotePrefix="0" xfId="1">
      <alignment vertical="center"/>
    </xf>
    <xf numFmtId="166" fontId="0" fillId="0" borderId="1" applyAlignment="1" pivotButton="0" quotePrefix="0" xfId="1">
      <alignment vertical="center"/>
    </xf>
    <xf numFmtId="166" fontId="0" fillId="17" borderId="0" applyAlignment="1" pivotButton="0" quotePrefix="0" xfId="1">
      <alignment vertical="center"/>
    </xf>
    <xf numFmtId="168" fontId="0" fillId="0" borderId="1" applyAlignment="1" pivotButton="0" quotePrefix="0" xfId="1">
      <alignment vertical="center"/>
    </xf>
    <xf numFmtId="165" fontId="0" fillId="2" borderId="0" applyAlignment="1" pivotButton="0" quotePrefix="0" xfId="1">
      <alignment vertical="center"/>
    </xf>
    <xf numFmtId="164" fontId="0" fillId="0" borderId="0" applyAlignment="1" pivotButton="0" quotePrefix="0" xfId="0">
      <alignment vertical="center"/>
    </xf>
    <xf numFmtId="168" fontId="50" fillId="5" borderId="0" applyAlignment="1" pivotButton="0" quotePrefix="0" xfId="1">
      <alignment horizontal="center" vertical="center"/>
    </xf>
    <xf numFmtId="172" fontId="0" fillId="0" borderId="0" applyAlignment="1" pivotButton="0" quotePrefix="0" xfId="5">
      <alignment vertical="center"/>
    </xf>
    <xf numFmtId="164" fontId="0" fillId="2" borderId="0" applyAlignment="1" pivotButton="0" quotePrefix="0" xfId="0">
      <alignment vertical="center"/>
    </xf>
    <xf numFmtId="165" fontId="0" fillId="0" borderId="0" applyAlignment="1" pivotButton="0" quotePrefix="0" xfId="0">
      <alignment vertical="center"/>
    </xf>
    <xf numFmtId="164" fontId="0" fillId="2" borderId="0" applyAlignment="1" pivotButton="0" quotePrefix="0" xfId="1">
      <alignment vertical="center"/>
    </xf>
    <xf numFmtId="168" fontId="0" fillId="0" borderId="0" applyAlignment="1" pivotButton="0" quotePrefix="0" xfId="1">
      <alignment vertical="center"/>
    </xf>
    <xf numFmtId="165" fontId="26" fillId="2" borderId="0" applyAlignment="1" pivotButton="0" quotePrefix="0" xfId="1">
      <alignment vertical="center"/>
    </xf>
    <xf numFmtId="165" fontId="0" fillId="6" borderId="0" applyAlignment="1" pivotButton="0" quotePrefix="0" xfId="1">
      <alignment vertical="center"/>
    </xf>
    <xf numFmtId="164" fontId="3" fillId="2" borderId="0" applyAlignment="1" pivotButton="0" quotePrefix="0" xfId="1">
      <alignment vertical="center"/>
    </xf>
    <xf numFmtId="164" fontId="3" fillId="2" borderId="0" pivotButton="0" quotePrefix="0" xfId="1"/>
    <xf numFmtId="165" fontId="26" fillId="0" borderId="0" applyAlignment="1" pivotButton="0" quotePrefix="0" xfId="1">
      <alignment vertical="center"/>
    </xf>
    <xf numFmtId="164" fontId="4" fillId="0" borderId="0" applyAlignment="1" pivotButton="0" quotePrefix="0" xfId="1">
      <alignment vertical="center"/>
    </xf>
    <xf numFmtId="167" fontId="0" fillId="0" borderId="0" applyAlignment="1" pivotButton="0" quotePrefix="0" xfId="1">
      <alignment vertical="center"/>
    </xf>
    <xf numFmtId="164" fontId="5" fillId="0" borderId="0" applyAlignment="1" pivotButton="0" quotePrefix="0" xfId="1">
      <alignment vertical="center"/>
    </xf>
    <xf numFmtId="165" fontId="0" fillId="21" borderId="0" applyAlignment="1" pivotButton="0" quotePrefix="0" xfId="1">
      <alignment vertical="center"/>
    </xf>
    <xf numFmtId="166" fontId="0" fillId="21" borderId="0" applyAlignment="1" pivotButton="0" quotePrefix="0" xfId="1">
      <alignment vertical="center"/>
    </xf>
    <xf numFmtId="164" fontId="0" fillId="21" borderId="0" applyAlignment="1" pivotButton="0" quotePrefix="0" xfId="1">
      <alignment vertical="center"/>
    </xf>
    <xf numFmtId="165" fontId="4" fillId="2" borderId="0" applyAlignment="1" pivotButton="0" quotePrefix="0" xfId="1">
      <alignment vertical="center"/>
    </xf>
    <xf numFmtId="166" fontId="57" fillId="0" borderId="0" applyAlignment="1" pivotButton="0" quotePrefix="0" xfId="1">
      <alignment vertical="center"/>
    </xf>
    <xf numFmtId="166" fontId="0" fillId="0" borderId="0" applyAlignment="1" pivotButton="0" quotePrefix="0" xfId="1">
      <alignment horizontal="right" vertical="center"/>
    </xf>
    <xf numFmtId="168" fontId="4" fillId="0" borderId="0" applyAlignment="1" pivotButton="0" quotePrefix="0" xfId="1">
      <alignment vertical="center"/>
    </xf>
    <xf numFmtId="168" fontId="0" fillId="0" borderId="0" applyAlignment="1" pivotButton="0" quotePrefix="0" xfId="0">
      <alignment vertical="center"/>
    </xf>
    <xf numFmtId="172" fontId="0" fillId="0" borderId="0" applyAlignment="1" pivotButton="0" quotePrefix="0" xfId="0">
      <alignment vertical="center"/>
    </xf>
    <xf numFmtId="164" fontId="5" fillId="0" borderId="0" applyAlignment="1" pivotButton="0" quotePrefix="0" xfId="0">
      <alignment vertical="center"/>
    </xf>
    <xf numFmtId="164" fontId="4" fillId="6" borderId="0" applyAlignment="1" pivotButton="0" quotePrefix="0" xfId="1">
      <alignment vertical="center"/>
    </xf>
    <xf numFmtId="164" fontId="0" fillId="6" borderId="0" applyAlignment="1" pivotButton="0" quotePrefix="0" xfId="1">
      <alignment vertical="center"/>
    </xf>
    <xf numFmtId="164" fontId="0" fillId="5" borderId="0" applyAlignment="1" pivotButton="0" quotePrefix="0" xfId="1">
      <alignment vertical="center"/>
    </xf>
    <xf numFmtId="166" fontId="0" fillId="5" borderId="0" applyAlignment="1" pivotButton="0" quotePrefix="0" xfId="1">
      <alignment vertical="center"/>
    </xf>
    <xf numFmtId="164" fontId="48" fillId="2" borderId="0" applyAlignment="1" pivotButton="0" quotePrefix="0" xfId="1">
      <alignment vertical="center"/>
    </xf>
    <xf numFmtId="164" fontId="49" fillId="2" borderId="0" applyAlignment="1" pivotButton="0" quotePrefix="0" xfId="1">
      <alignment vertical="center"/>
    </xf>
    <xf numFmtId="174" fontId="0" fillId="0" borderId="0" applyAlignment="1" pivotButton="0" quotePrefix="0" xfId="5">
      <alignment vertical="center"/>
    </xf>
    <xf numFmtId="164" fontId="26" fillId="2" borderId="0" applyAlignment="1" pivotButton="0" quotePrefix="0" xfId="1">
      <alignment vertical="center"/>
    </xf>
    <xf numFmtId="180" fontId="0" fillId="0" borderId="0" applyAlignment="1" pivotButton="0" quotePrefix="0" xfId="0">
      <alignment vertical="center"/>
    </xf>
    <xf numFmtId="171" fontId="0" fillId="0" borderId="0" applyAlignment="1" pivotButton="0" quotePrefix="0" xfId="0">
      <alignment horizontal="center" vertical="center"/>
    </xf>
    <xf numFmtId="166" fontId="5" fillId="0" borderId="0" applyAlignment="1" pivotButton="0" quotePrefix="0" xfId="1">
      <alignment vertical="center"/>
    </xf>
    <xf numFmtId="166" fontId="0" fillId="0" borderId="0" applyAlignment="1" pivotButton="0" quotePrefix="0" xfId="1">
      <alignment horizontal="center" vertical="center"/>
    </xf>
    <xf numFmtId="164" fontId="44" fillId="2" borderId="0" applyAlignment="1" pivotButton="0" quotePrefix="0" xfId="1">
      <alignment vertical="center"/>
    </xf>
    <xf numFmtId="164" fontId="25" fillId="2" borderId="0" applyAlignment="1" pivotButton="0" quotePrefix="0" xfId="1">
      <alignment vertical="center"/>
    </xf>
    <xf numFmtId="164" fontId="27" fillId="2" borderId="0" applyAlignment="1" pivotButton="0" quotePrefix="0" xfId="1">
      <alignment vertical="center"/>
    </xf>
    <xf numFmtId="164" fontId="37" fillId="17" borderId="0" applyAlignment="1" pivotButton="0" quotePrefix="0" xfId="1">
      <alignment vertical="center"/>
    </xf>
    <xf numFmtId="178" fontId="0" fillId="0" borderId="0" applyAlignment="1" pivotButton="0" quotePrefix="0" xfId="1">
      <alignment vertical="center"/>
    </xf>
    <xf numFmtId="165" fontId="4" fillId="0" borderId="0" applyAlignment="1" pivotButton="0" quotePrefix="0" xfId="1">
      <alignment vertical="center"/>
    </xf>
    <xf numFmtId="169" fontId="0" fillId="0" borderId="0" applyAlignment="1" pivotButton="0" quotePrefix="0" xfId="0">
      <alignment vertical="center"/>
    </xf>
    <xf numFmtId="165" fontId="0" fillId="22" borderId="0" applyAlignment="1" pivotButton="0" quotePrefix="0" xfId="1">
      <alignment vertical="center"/>
    </xf>
    <xf numFmtId="166" fontId="0" fillId="2" borderId="0" applyAlignment="1" pivotButton="0" quotePrefix="0" xfId="1">
      <alignment vertical="center"/>
    </xf>
    <xf numFmtId="174" fontId="0" fillId="0" borderId="0" applyAlignment="1" pivotButton="0" quotePrefix="0" xfId="0">
      <alignment vertical="center"/>
    </xf>
    <xf numFmtId="166" fontId="0" fillId="2" borderId="0" applyAlignment="1" pivotButton="0" quotePrefix="0" xfId="0">
      <alignment vertical="center"/>
    </xf>
    <xf numFmtId="166" fontId="0" fillId="0" borderId="0" applyAlignment="1" pivotButton="0" quotePrefix="0" xfId="0">
      <alignment vertical="center"/>
    </xf>
    <xf numFmtId="166" fontId="51" fillId="0" borderId="0" applyAlignment="1" pivotButton="0" quotePrefix="0" xfId="0">
      <alignment vertical="center"/>
    </xf>
    <xf numFmtId="164" fontId="4" fillId="0" borderId="0" applyAlignment="1" pivotButton="0" quotePrefix="0" xfId="1">
      <alignment horizontal="right" vertical="center"/>
    </xf>
    <xf numFmtId="172" fontId="0" fillId="2" borderId="0" applyAlignment="1" pivotButton="0" quotePrefix="0" xfId="5">
      <alignment vertical="center"/>
    </xf>
    <xf numFmtId="169" fontId="0" fillId="2" borderId="0" applyAlignment="1" pivotButton="0" quotePrefix="0" xfId="0">
      <alignment vertical="center"/>
    </xf>
    <xf numFmtId="167" fontId="0" fillId="2" borderId="0" applyAlignment="1" pivotButton="0" quotePrefix="0" xfId="1">
      <alignment vertical="center"/>
    </xf>
    <xf numFmtId="181" fontId="0" fillId="0" borderId="0" applyAlignment="1" pivotButton="0" quotePrefix="0" xfId="0">
      <alignment vertical="center"/>
    </xf>
    <xf numFmtId="166" fontId="4" fillId="0" borderId="0" applyAlignment="1" pivotButton="0" quotePrefix="0" xfId="1">
      <alignment vertical="center"/>
    </xf>
    <xf numFmtId="168" fontId="0" fillId="2" borderId="0" applyAlignment="1" pivotButton="0" quotePrefix="0" xfId="0">
      <alignment vertical="center"/>
    </xf>
    <xf numFmtId="166" fontId="26" fillId="2" borderId="0" applyAlignment="1" pivotButton="0" quotePrefix="0" xfId="1">
      <alignment vertical="center"/>
    </xf>
    <xf numFmtId="164" fontId="0" fillId="0" borderId="0" applyAlignment="1" pivotButton="0" quotePrefix="0" xfId="1">
      <alignment horizontal="right" vertical="center"/>
    </xf>
    <xf numFmtId="168" fontId="0" fillId="0" borderId="0" applyAlignment="1" pivotButton="0" quotePrefix="0" xfId="1">
      <alignment horizontal="center" vertical="center"/>
    </xf>
    <xf numFmtId="166" fontId="0" fillId="22" borderId="0" applyAlignment="1" pivotButton="0" quotePrefix="0" xfId="1">
      <alignment vertical="center"/>
    </xf>
    <xf numFmtId="165" fontId="5" fillId="0" borderId="0" applyAlignment="1" pivotButton="0" quotePrefix="0" xfId="1">
      <alignment vertical="center"/>
    </xf>
    <xf numFmtId="166" fontId="37" fillId="0" borderId="0" applyAlignment="1" pivotButton="0" quotePrefix="0" xfId="1">
      <alignment vertical="center"/>
    </xf>
    <xf numFmtId="165" fontId="37" fillId="0" borderId="0" applyAlignment="1" pivotButton="0" quotePrefix="0" xfId="1">
      <alignment vertical="center"/>
    </xf>
    <xf numFmtId="191" fontId="0" fillId="2" borderId="0" applyAlignment="1" pivotButton="0" quotePrefix="0" xfId="0">
      <alignment vertical="center"/>
    </xf>
    <xf numFmtId="177" fontId="0" fillId="2" borderId="0" applyAlignment="1" pivotButton="0" quotePrefix="0" xfId="1">
      <alignment vertical="center"/>
    </xf>
    <xf numFmtId="164" fontId="40" fillId="2" borderId="0" applyAlignment="1" pivotButton="0" quotePrefix="0" xfId="1">
      <alignment vertical="center"/>
    </xf>
    <xf numFmtId="164" fontId="41" fillId="2" borderId="0" applyAlignment="1" pivotButton="0" quotePrefix="0" xfId="1">
      <alignment vertical="center"/>
    </xf>
    <xf numFmtId="164" fontId="42" fillId="2" borderId="0" applyAlignment="1" pivotButton="0" quotePrefix="0" xfId="1">
      <alignment vertical="center"/>
    </xf>
    <xf numFmtId="164" fontId="14" fillId="2" borderId="0" applyAlignment="1" pivotButton="0" quotePrefix="0" xfId="1">
      <alignment vertical="center"/>
    </xf>
    <xf numFmtId="164" fontId="43" fillId="0" borderId="0" applyAlignment="1" pivotButton="0" quotePrefix="0" xfId="1">
      <alignment vertical="center"/>
    </xf>
    <xf numFmtId="164" fontId="14" fillId="0" borderId="0" applyAlignment="1" pivotButton="0" quotePrefix="0" xfId="1">
      <alignment vertical="center"/>
    </xf>
    <xf numFmtId="164" fontId="39" fillId="2" borderId="0" applyAlignment="1" pivotButton="0" quotePrefix="0" xfId="1">
      <alignment vertical="center"/>
    </xf>
    <xf numFmtId="164" fontId="39" fillId="0" borderId="0" applyAlignment="1" pivotButton="0" quotePrefix="0" xfId="1">
      <alignment vertical="center"/>
    </xf>
    <xf numFmtId="164" fontId="52" fillId="6" borderId="0" applyAlignment="1" pivotButton="0" quotePrefix="0" xfId="1">
      <alignment vertical="center"/>
    </xf>
    <xf numFmtId="164" fontId="60" fillId="2" borderId="0" applyAlignment="1" pivotButton="0" quotePrefix="0" xfId="1">
      <alignment vertical="center"/>
    </xf>
    <xf numFmtId="164" fontId="5" fillId="2" borderId="0" applyAlignment="1" pivotButton="0" quotePrefix="0" xfId="1">
      <alignment vertical="center"/>
    </xf>
    <xf numFmtId="164" fontId="3" fillId="0" borderId="0" applyAlignment="1" pivotButton="0" quotePrefix="0" xfId="1">
      <alignment vertical="center"/>
    </xf>
    <xf numFmtId="164" fontId="39" fillId="2" borderId="0" applyAlignment="1" pivotButton="0" quotePrefix="0" xfId="1">
      <alignment horizontal="left" vertical="center"/>
    </xf>
    <xf numFmtId="164" fontId="28" fillId="2" borderId="0" applyAlignment="1" pivotButton="0" quotePrefix="0" xfId="1">
      <alignment vertical="center"/>
    </xf>
    <xf numFmtId="164" fontId="27" fillId="2" borderId="0" applyAlignment="1" pivotButton="0" quotePrefix="0" xfId="1">
      <alignment horizontal="left" vertical="center"/>
    </xf>
    <xf numFmtId="165" fontId="0" fillId="2" borderId="0" applyAlignment="1" pivotButton="0" quotePrefix="0" xfId="0">
      <alignment vertical="center"/>
    </xf>
    <xf numFmtId="165" fontId="8" fillId="2" borderId="0" pivotButton="0" quotePrefix="0" xfId="1"/>
    <xf numFmtId="171" fontId="0" fillId="0" borderId="0" applyAlignment="1" pivotButton="0" quotePrefix="0" xfId="0">
      <alignment vertical="center"/>
    </xf>
    <xf numFmtId="165" fontId="8" fillId="0" borderId="0" pivotButton="0" quotePrefix="0" xfId="1"/>
    <xf numFmtId="167" fontId="0" fillId="0" borderId="0" pivotButton="0" quotePrefix="0" xfId="1"/>
    <xf numFmtId="164" fontId="67" fillId="0" borderId="0" applyAlignment="1" pivotButton="0" quotePrefix="0" xfId="0">
      <alignment vertical="center"/>
    </xf>
    <xf numFmtId="164" fontId="46" fillId="2" borderId="0" applyAlignment="1" pivotButton="0" quotePrefix="0" xfId="1">
      <alignment vertical="center"/>
    </xf>
    <xf numFmtId="164" fontId="8" fillId="2" borderId="0" applyAlignment="1" pivotButton="0" quotePrefix="0" xfId="1">
      <alignment vertical="center"/>
    </xf>
    <xf numFmtId="165" fontId="8" fillId="20" borderId="0" pivotButton="0" quotePrefix="0" xfId="1"/>
    <xf numFmtId="164" fontId="0" fillId="20" borderId="0" applyAlignment="1" pivotButton="0" quotePrefix="0" xfId="1">
      <alignment vertical="center"/>
    </xf>
    <xf numFmtId="179" fontId="0" fillId="0" borderId="0" applyAlignment="1" pivotButton="0" quotePrefix="0" xfId="0">
      <alignment vertical="center"/>
    </xf>
    <xf numFmtId="164" fontId="0" fillId="22" borderId="0" applyAlignment="1" pivotButton="0" quotePrefix="0" xfId="1">
      <alignment vertical="center"/>
    </xf>
    <xf numFmtId="165" fontId="0" fillId="22" borderId="0" applyAlignment="1" pivotButton="0" quotePrefix="0" xfId="0">
      <alignment vertical="center"/>
    </xf>
    <xf numFmtId="168" fontId="0" fillId="22" borderId="0" applyAlignment="1" pivotButton="0" quotePrefix="0" xfId="0">
      <alignment vertical="center"/>
    </xf>
    <xf numFmtId="169" fontId="0" fillId="22" borderId="0" applyAlignment="1" pivotButton="0" quotePrefix="0" xfId="0">
      <alignment vertical="center"/>
    </xf>
    <xf numFmtId="165" fontId="47" fillId="2" borderId="0" pivotButton="0" quotePrefix="0" xfId="1"/>
    <xf numFmtId="165" fontId="5" fillId="0" borderId="0" applyAlignment="1" pivotButton="0" quotePrefix="0" xfId="0">
      <alignment vertical="center"/>
    </xf>
    <xf numFmtId="182" fontId="131" fillId="0" borderId="27" applyAlignment="1" pivotButton="0" quotePrefix="0" xfId="35305">
      <alignment horizontal="right" vertical="center"/>
    </xf>
    <xf numFmtId="183" fontId="0" fillId="0" borderId="0" applyAlignment="1" pivotButton="0" quotePrefix="0" xfId="0">
      <alignment vertical="center"/>
    </xf>
    <xf numFmtId="165" fontId="4" fillId="0" borderId="0" applyAlignment="1" pivotButton="0" quotePrefix="0" xfId="0">
      <alignment vertical="center"/>
    </xf>
    <xf numFmtId="167" fontId="0" fillId="0" borderId="0" applyAlignment="1" pivotButton="0" quotePrefix="0" xfId="0">
      <alignment vertical="center"/>
    </xf>
    <xf numFmtId="185" fontId="0" fillId="0" borderId="0" applyAlignment="1" pivotButton="0" quotePrefix="0" xfId="1">
      <alignment vertical="center"/>
    </xf>
    <xf numFmtId="168" fontId="0" fillId="0" borderId="33" applyAlignment="1" pivotButton="0" quotePrefix="0" xfId="1">
      <alignment vertical="center"/>
    </xf>
    <xf numFmtId="164" fontId="4" fillId="0" borderId="33" applyAlignment="1" pivotButton="0" quotePrefix="0" xfId="0">
      <alignment vertical="center"/>
    </xf>
    <xf numFmtId="164" fontId="0" fillId="0" borderId="33" applyAlignment="1" pivotButton="0" quotePrefix="0" xfId="1">
      <alignment vertical="center"/>
    </xf>
    <xf numFmtId="168" fontId="0" fillId="0" borderId="33" applyAlignment="1" pivotButton="0" quotePrefix="0" xfId="0">
      <alignment vertical="center"/>
    </xf>
    <xf numFmtId="164" fontId="3" fillId="5" borderId="2" applyAlignment="1" pivotButton="0" quotePrefix="0" xfId="3">
      <alignment horizontal="center" vertical="center"/>
    </xf>
    <xf numFmtId="167" fontId="3" fillId="0" borderId="2" applyAlignment="1" pivotButton="0" quotePrefix="0" xfId="3">
      <alignment horizontal="center" vertical="center"/>
    </xf>
    <xf numFmtId="164" fontId="3" fillId="0" borderId="2" pivotButton="0" quotePrefix="0" xfId="2"/>
    <xf numFmtId="164" fontId="9" fillId="0" borderId="0" pivotButton="0" quotePrefix="0" xfId="3"/>
    <xf numFmtId="164" fontId="3" fillId="2" borderId="2" applyAlignment="1" pivotButton="0" quotePrefix="0" xfId="3">
      <alignment horizontal="center" vertical="center"/>
    </xf>
    <xf numFmtId="167" fontId="3" fillId="2" borderId="2" applyAlignment="1" pivotButton="0" quotePrefix="0" xfId="3">
      <alignment horizontal="center" vertical="center"/>
    </xf>
    <xf numFmtId="164" fontId="3" fillId="2" borderId="2" pivotButton="0" quotePrefix="0" xfId="2"/>
    <xf numFmtId="164" fontId="9" fillId="2" borderId="0" pivotButton="0" quotePrefix="0" xfId="3"/>
    <xf numFmtId="164" fontId="9" fillId="0" borderId="0" pivotButton="0" quotePrefix="0" xfId="2"/>
    <xf numFmtId="164" fontId="3" fillId="6" borderId="2" applyAlignment="1" pivotButton="0" quotePrefix="0" xfId="3">
      <alignment horizontal="center" vertical="center"/>
    </xf>
    <xf numFmtId="167" fontId="3" fillId="6" borderId="2" applyAlignment="1" pivotButton="0" quotePrefix="0" xfId="3">
      <alignment horizontal="center" vertical="center"/>
    </xf>
    <xf numFmtId="164" fontId="4" fillId="5" borderId="2" applyAlignment="1" pivotButton="0" quotePrefix="0" xfId="3">
      <alignment horizontal="center" vertical="center"/>
    </xf>
    <xf numFmtId="164" fontId="3" fillId="0" borderId="0" pivotButton="0" quotePrefix="0" xfId="2"/>
    <xf numFmtId="168" fontId="9" fillId="0" borderId="0" pivotButton="0" quotePrefix="0" xfId="3"/>
    <xf numFmtId="167" fontId="9" fillId="0" borderId="0" pivotButton="0" quotePrefix="0" xfId="3"/>
    <xf numFmtId="165" fontId="9" fillId="0" borderId="0" pivotButton="0" quotePrefix="0" xfId="3"/>
    <xf numFmtId="164" fontId="9" fillId="6" borderId="0" pivotButton="0" quotePrefix="0" xfId="3"/>
    <xf numFmtId="171" fontId="9" fillId="0" borderId="0" pivotButton="0" quotePrefix="0" xfId="2"/>
    <xf numFmtId="167" fontId="0" fillId="0" borderId="0" applyAlignment="1" pivotButton="0" quotePrefix="0" xfId="3">
      <alignment vertical="center"/>
    </xf>
    <xf numFmtId="164" fontId="0" fillId="5" borderId="8" applyAlignment="1" pivotButton="0" quotePrefix="0" xfId="3">
      <alignment horizontal="center" vertical="center"/>
    </xf>
    <xf numFmtId="167" fontId="0" fillId="0" borderId="8" applyAlignment="1" pivotButton="0" quotePrefix="0" xfId="3">
      <alignment horizontal="center" vertical="center"/>
    </xf>
    <xf numFmtId="171" fontId="61" fillId="0" borderId="0" applyAlignment="1" pivotButton="0" quotePrefix="0" xfId="2">
      <alignment vertical="center"/>
    </xf>
    <xf numFmtId="171" fontId="7" fillId="0" borderId="0" applyAlignment="1" pivotButton="0" quotePrefix="0" xfId="2">
      <alignment vertical="center"/>
    </xf>
    <xf numFmtId="168" fontId="7" fillId="0" borderId="0" applyAlignment="1" pivotButton="0" quotePrefix="0" xfId="1">
      <alignment vertical="center"/>
    </xf>
    <xf numFmtId="164" fontId="3" fillId="5" borderId="8" applyAlignment="1" pivotButton="0" quotePrefix="0" xfId="3">
      <alignment horizontal="center" vertical="center"/>
    </xf>
    <xf numFmtId="167" fontId="3" fillId="0" borderId="8" applyAlignment="1" pivotButton="0" quotePrefix="0" xfId="3">
      <alignment horizontal="center" vertical="center"/>
    </xf>
    <xf numFmtId="164" fontId="3" fillId="5" borderId="27" applyAlignment="1" pivotButton="0" quotePrefix="0" xfId="3">
      <alignment horizontal="center" vertical="center"/>
    </xf>
    <xf numFmtId="167" fontId="3" fillId="0" borderId="27" applyAlignment="1" pivotButton="0" quotePrefix="0" xfId="3">
      <alignment horizontal="center" vertical="center"/>
    </xf>
    <xf numFmtId="164" fontId="3" fillId="0" borderId="0" applyAlignment="1" pivotButton="0" quotePrefix="0" xfId="3">
      <alignment horizontal="center" vertical="center"/>
    </xf>
    <xf numFmtId="169" fontId="3" fillId="0" borderId="0" applyAlignment="1" pivotButton="0" quotePrefix="0" xfId="2">
      <alignment vertical="center"/>
    </xf>
    <xf numFmtId="170" fontId="3" fillId="0" borderId="0" applyAlignment="1" pivotButton="0" quotePrefix="0" xfId="2">
      <alignment vertical="center"/>
    </xf>
    <xf numFmtId="164" fontId="3" fillId="0" borderId="0" applyAlignment="1" pivotButton="0" quotePrefix="0" xfId="2">
      <alignment vertical="center"/>
    </xf>
    <xf numFmtId="164" fontId="3" fillId="2" borderId="0" applyAlignment="1" pivotButton="0" quotePrefix="0" xfId="3">
      <alignment horizontal="center" vertical="center"/>
    </xf>
    <xf numFmtId="169" fontId="3" fillId="2" borderId="0" applyAlignment="1" pivotButton="0" quotePrefix="0" xfId="2">
      <alignment vertical="center"/>
    </xf>
    <xf numFmtId="164" fontId="3" fillId="2" borderId="0" applyAlignment="1" pivotButton="0" quotePrefix="0" xfId="2">
      <alignment vertical="center"/>
    </xf>
    <xf numFmtId="164" fontId="3" fillId="0" borderId="0" pivotButton="0" quotePrefix="0" xfId="4"/>
    <xf numFmtId="165" fontId="3" fillId="0" borderId="0" applyAlignment="1" pivotButton="0" quotePrefix="0" xfId="3">
      <alignment horizontal="center" vertical="center"/>
    </xf>
    <xf numFmtId="164" fontId="9" fillId="0" borderId="0" applyAlignment="1" pivotButton="0" quotePrefix="0" xfId="3">
      <alignment horizontal="center" vertical="center"/>
    </xf>
    <xf numFmtId="165" fontId="3" fillId="0" borderId="0" pivotButton="0" quotePrefix="0" xfId="3"/>
    <xf numFmtId="168" fontId="3" fillId="0" borderId="0" pivotButton="0" quotePrefix="0" xfId="3"/>
    <xf numFmtId="164" fontId="3" fillId="11" borderId="0" pivotButton="0" quotePrefix="0" xfId="2"/>
    <xf numFmtId="164" fontId="3" fillId="10" borderId="0" pivotButton="0" quotePrefix="0" xfId="2"/>
    <xf numFmtId="164" fontId="7" fillId="0" borderId="0" applyAlignment="1" pivotButton="0" quotePrefix="0" xfId="2">
      <alignment vertical="center"/>
    </xf>
    <xf numFmtId="164" fontId="9" fillId="0" borderId="0" pivotButton="0" quotePrefix="0" xfId="1"/>
    <xf numFmtId="171" fontId="9" fillId="0" borderId="0" pivotButton="0" quotePrefix="0" xfId="3"/>
    <xf numFmtId="174" fontId="9" fillId="0" borderId="0" pivotButton="0" quotePrefix="0" xfId="2"/>
    <xf numFmtId="165" fontId="9" fillId="0" borderId="0" pivotButton="0" quotePrefix="0" xfId="1"/>
    <xf numFmtId="172" fontId="9" fillId="0" borderId="0" pivotButton="0" quotePrefix="0" xfId="4"/>
    <xf numFmtId="164" fontId="0" fillId="0" borderId="0" pivotButton="0" quotePrefix="0" xfId="0"/>
    <xf numFmtId="164" fontId="0" fillId="0" borderId="0" applyAlignment="1" pivotButton="0" quotePrefix="0" xfId="9">
      <alignment vertical="center"/>
    </xf>
    <xf numFmtId="164" fontId="0" fillId="0" borderId="0" pivotButton="0" quotePrefix="0" xfId="2"/>
    <xf numFmtId="164" fontId="0" fillId="0" borderId="0" pivotButton="0" quotePrefix="0" xfId="1"/>
    <xf numFmtId="164" fontId="0" fillId="0" borderId="0" applyAlignment="1" pivotButton="0" quotePrefix="0" xfId="8">
      <alignment vertical="center"/>
    </xf>
    <xf numFmtId="168" fontId="0" fillId="0" borderId="0" pivotButton="0" quotePrefix="0" xfId="2"/>
    <xf numFmtId="168" fontId="0" fillId="0" borderId="0" pivotButton="0" quotePrefix="0" xfId="1"/>
    <xf numFmtId="168" fontId="0" fillId="6" borderId="0" pivotButton="0" quotePrefix="0" xfId="1"/>
    <xf numFmtId="168" fontId="9" fillId="0" borderId="0" pivotButton="0" quotePrefix="0" xfId="1"/>
    <xf numFmtId="168" fontId="0" fillId="0" borderId="0" applyAlignment="1" pivotButton="0" quotePrefix="0" xfId="8">
      <alignment vertical="center"/>
    </xf>
    <xf numFmtId="171" fontId="0" fillId="0" borderId="0" pivotButton="0" quotePrefix="0" xfId="2"/>
    <xf numFmtId="165" fontId="34" fillId="3" borderId="2" applyAlignment="1" pivotButton="0" quotePrefix="0" xfId="1">
      <alignment horizontal="center" vertical="center" wrapText="1"/>
    </xf>
    <xf numFmtId="165" fontId="34" fillId="4" borderId="2" applyAlignment="1" pivotButton="0" quotePrefix="0" xfId="1">
      <alignment horizontal="center" vertical="center" wrapText="1"/>
    </xf>
    <xf numFmtId="165" fontId="8" fillId="0" borderId="0" pivotButton="0" quotePrefix="0" xfId="2"/>
    <xf numFmtId="165" fontId="8" fillId="19" borderId="0" pivotButton="0" quotePrefix="0" xfId="1"/>
    <xf numFmtId="173" fontId="8" fillId="0" borderId="0" pivotButton="0" quotePrefix="0" xfId="2"/>
    <xf numFmtId="165" fontId="47" fillId="0" borderId="0" pivotButton="0" quotePrefix="0" xfId="1"/>
    <xf numFmtId="165" fontId="47" fillId="6" borderId="0" pivotButton="0" quotePrefix="0" xfId="1"/>
    <xf numFmtId="165" fontId="8" fillId="6" borderId="0" pivotButton="0" quotePrefix="0" xfId="1"/>
    <xf numFmtId="165" fontId="8" fillId="0" borderId="7" pivotButton="0" quotePrefix="0" xfId="1"/>
    <xf numFmtId="173" fontId="8" fillId="0" borderId="7" pivotButton="0" quotePrefix="0" xfId="2"/>
    <xf numFmtId="165" fontId="8" fillId="0" borderId="4" pivotButton="0" quotePrefix="0" xfId="1"/>
    <xf numFmtId="165" fontId="47" fillId="0" borderId="4" pivotButton="0" quotePrefix="0" xfId="1"/>
    <xf numFmtId="165" fontId="8" fillId="0" borderId="6" pivotButton="0" quotePrefix="0" xfId="1"/>
    <xf numFmtId="165" fontId="34" fillId="0" borderId="0" pivotButton="0" quotePrefix="0" xfId="1"/>
    <xf numFmtId="167" fontId="8" fillId="0" borderId="0" pivotButton="0" quotePrefix="0" xfId="1"/>
    <xf numFmtId="164" fontId="8" fillId="0" borderId="0" pivotButton="0" quotePrefix="0" xfId="1"/>
    <xf numFmtId="172" fontId="0" fillId="2" borderId="0" applyAlignment="1" pivotButton="0" quotePrefix="0" xfId="0">
      <alignment vertical="center"/>
    </xf>
    <xf numFmtId="165" fontId="51" fillId="2" borderId="0" applyAlignment="1" pivotButton="0" quotePrefix="0" xfId="1">
      <alignment vertical="center"/>
    </xf>
    <xf numFmtId="165" fontId="57" fillId="2" borderId="0" applyAlignment="1" pivotButton="0" quotePrefix="0" xfId="1">
      <alignment vertical="center"/>
    </xf>
    <xf numFmtId="176" fontId="54" fillId="0" borderId="9" applyAlignment="1" pivotButton="0" quotePrefix="0" xfId="0">
      <alignment vertical="center"/>
    </xf>
    <xf numFmtId="176" fontId="53" fillId="0" borderId="9" applyAlignment="1" pivotButton="0" quotePrefix="0" xfId="0">
      <alignment vertical="center"/>
    </xf>
    <xf numFmtId="175" fontId="0" fillId="0" borderId="0" applyAlignment="1" pivotButton="0" quotePrefix="0" xfId="0">
      <alignment vertical="center"/>
    </xf>
    <xf numFmtId="176" fontId="53" fillId="0" borderId="5" applyAlignment="1" pivotButton="0" quotePrefix="0" xfId="0">
      <alignment vertical="center"/>
    </xf>
    <xf numFmtId="176" fontId="54" fillId="0" borderId="5" applyAlignment="1" pivotButton="0" quotePrefix="0" xfId="0">
      <alignment vertical="center"/>
    </xf>
    <xf numFmtId="176" fontId="54" fillId="0" borderId="0" applyAlignment="1" pivotButton="0" quotePrefix="0" xfId="0">
      <alignment vertical="center"/>
    </xf>
    <xf numFmtId="164" fontId="0" fillId="22" borderId="0" applyAlignment="1" pivotButton="0" quotePrefix="0" xfId="0">
      <alignment vertical="center"/>
    </xf>
    <xf numFmtId="184" fontId="0" fillId="0" borderId="0" applyAlignment="1" pivotButton="0" quotePrefix="0" xfId="0">
      <alignment vertical="center"/>
    </xf>
    <xf numFmtId="176" fontId="53" fillId="0" borderId="0" applyAlignment="1" pivotButton="0" quotePrefix="0" xfId="0">
      <alignment vertical="center"/>
    </xf>
    <xf numFmtId="165" fontId="53" fillId="0" borderId="0" applyAlignment="1" pivotButton="0" quotePrefix="0" xfId="1">
      <alignment vertical="center"/>
    </xf>
  </cellXfs>
  <cellStyles count="35307">
    <cellStyle name="常规" xfId="0" builtinId="0"/>
    <cellStyle name="千位分隔" xfId="1" builtinId="3"/>
    <cellStyle name="常规 2" xfId="2"/>
    <cellStyle name="千位分隔 2" xfId="3"/>
    <cellStyle name="百分比 2" xfId="4"/>
    <cellStyle name="百分比" xfId="5" builtinId="5"/>
    <cellStyle name="常规 5" xfId="6"/>
    <cellStyle name="常规 3" xfId="7"/>
    <cellStyle name="常规 10 2" xfId="8"/>
    <cellStyle name="千位分隔 3" xfId="9"/>
    <cellStyle name="常规 118" xfId="10"/>
    <cellStyle name="常规 117" xfId="11"/>
    <cellStyle name="常规 10 2 11" xfId="12"/>
    <cellStyle name="百分比 10 2 2 2 2 2" xfId="13"/>
    <cellStyle name="??" xfId="14"/>
    <cellStyle name="?? 2" xfId="15"/>
    <cellStyle name="?鹎%U龡&amp;H?_x0008__x001c__x001c_?_x0007__x0001__x0001_" xfId="16"/>
    <cellStyle name="?鹎%U龡&amp;H?_x0008__x001c__x001c_?_x0007__x0001__x0001_ 2" xfId="17"/>
    <cellStyle name="_ET_STYLE_NoName_00_" xfId="18"/>
    <cellStyle name="_ET_STYLE_NoName_00_ 2" xfId="19"/>
    <cellStyle name="20% - 强调文字颜色 1 10" xfId="20"/>
    <cellStyle name="20% - 强调文字颜色 1 11" xfId="21"/>
    <cellStyle name="20% - 强调文字颜色 1 12" xfId="22"/>
    <cellStyle name="20% - 强调文字颜色 1 2" xfId="23"/>
    <cellStyle name="20% - 强调文字颜色 1 2 10" xfId="24"/>
    <cellStyle name="20% - 强调文字颜色 1 2 2" xfId="25"/>
    <cellStyle name="20% - 强调文字颜色 1 2 2 2" xfId="26"/>
    <cellStyle name="20% - 强调文字颜色 1 2 2 2 2" xfId="27"/>
    <cellStyle name="20% - 强调文字颜色 1 2 2 2 3" xfId="28"/>
    <cellStyle name="20% - 强调文字颜色 1 2 2 2 4" xfId="29"/>
    <cellStyle name="20% - 强调文字颜色 1 2 2 2 5" xfId="30"/>
    <cellStyle name="20% - 强调文字颜色 1 2 2 2 6" xfId="31"/>
    <cellStyle name="20% - 强调文字颜色 1 2 2 3" xfId="32"/>
    <cellStyle name="20% - 强调文字颜色 1 2 2 4" xfId="33"/>
    <cellStyle name="20% - 强调文字颜色 1 2 2 5" xfId="34"/>
    <cellStyle name="20% - 强调文字颜色 1 2 2 6" xfId="35"/>
    <cellStyle name="20% - 强调文字颜色 1 2 2 7" xfId="36"/>
    <cellStyle name="20% - 强调文字颜色 1 2 3" xfId="37"/>
    <cellStyle name="20% - 强调文字颜色 1 2 3 2" xfId="38"/>
    <cellStyle name="20% - 强调文字颜色 1 2 3 2 2" xfId="39"/>
    <cellStyle name="20% - 强调文字颜色 1 2 3 2 3" xfId="40"/>
    <cellStyle name="20% - 强调文字颜色 1 2 3 2 4" xfId="41"/>
    <cellStyle name="20% - 强调文字颜色 1 2 3 2 5" xfId="42"/>
    <cellStyle name="20% - 强调文字颜色 1 2 3 2 6" xfId="43"/>
    <cellStyle name="20% - 强调文字颜色 1 2 3 3" xfId="44"/>
    <cellStyle name="20% - 强调文字颜色 1 2 3 4" xfId="45"/>
    <cellStyle name="20% - 强调文字颜色 1 2 3 5" xfId="46"/>
    <cellStyle name="20% - 强调文字颜色 1 2 3 6" xfId="47"/>
    <cellStyle name="20% - 强调文字颜色 1 2 3 7" xfId="48"/>
    <cellStyle name="20% - 强调文字颜色 1 2 4" xfId="49"/>
    <cellStyle name="20% - 强调文字颜色 1 2 4 2" xfId="50"/>
    <cellStyle name="20% - 强调文字颜色 1 2 4 2 2" xfId="51"/>
    <cellStyle name="20% - 强调文字颜色 1 2 4 2 3" xfId="52"/>
    <cellStyle name="20% - 强调文字颜色 1 2 4 2 4" xfId="53"/>
    <cellStyle name="20% - 强调文字颜色 1 2 4 2 5" xfId="54"/>
    <cellStyle name="20% - 强调文字颜色 1 2 4 2 6" xfId="55"/>
    <cellStyle name="20% - 强调文字颜色 1 2 4 3" xfId="56"/>
    <cellStyle name="20% - 强调文字颜色 1 2 4 4" xfId="57"/>
    <cellStyle name="20% - 强调文字颜色 1 2 4 5" xfId="58"/>
    <cellStyle name="20% - 强调文字颜色 1 2 4 6" xfId="59"/>
    <cellStyle name="20% - 强调文字颜色 1 2 4 7" xfId="60"/>
    <cellStyle name="20% - 强调文字颜色 1 2 5" xfId="61"/>
    <cellStyle name="20% - 强调文字颜色 1 2 5 2" xfId="62"/>
    <cellStyle name="20% - 强调文字颜色 1 2 5 3" xfId="63"/>
    <cellStyle name="20% - 强调文字颜色 1 2 5 4" xfId="64"/>
    <cellStyle name="20% - 强调文字颜色 1 2 5 5" xfId="65"/>
    <cellStyle name="20% - 强调文字颜色 1 2 5 6" xfId="66"/>
    <cellStyle name="20% - 强调文字颜色 1 2 6" xfId="67"/>
    <cellStyle name="20% - 强调文字颜色 1 2 7" xfId="68"/>
    <cellStyle name="20% - 强调文字颜色 1 2 8" xfId="69"/>
    <cellStyle name="20% - 强调文字颜色 1 2 9" xfId="70"/>
    <cellStyle name="20% - 强调文字颜色 1 3" xfId="71"/>
    <cellStyle name="20% - 强调文字颜色 1 3 2" xfId="72"/>
    <cellStyle name="20% - 强调文字颜色 1 3 2 2" xfId="73"/>
    <cellStyle name="20% - 强调文字颜色 1 3 2 3" xfId="74"/>
    <cellStyle name="20% - 强调文字颜色 1 3 2 4" xfId="75"/>
    <cellStyle name="20% - 强调文字颜色 1 3 2 5" xfId="76"/>
    <cellStyle name="20% - 强调文字颜色 1 3 2 6" xfId="77"/>
    <cellStyle name="20% - 强调文字颜色 1 3 3" xfId="78"/>
    <cellStyle name="20% - 强调文字颜色 1 3 4" xfId="79"/>
    <cellStyle name="20% - 强调文字颜色 1 3 5" xfId="80"/>
    <cellStyle name="20% - 强调文字颜色 1 3 6" xfId="81"/>
    <cellStyle name="20% - 强调文字颜色 1 3 7" xfId="82"/>
    <cellStyle name="20% - 强调文字颜色 1 4" xfId="83"/>
    <cellStyle name="20% - 强调文字颜色 1 4 2" xfId="84"/>
    <cellStyle name="20% - 强调文字颜色 1 4 2 2" xfId="85"/>
    <cellStyle name="20% - 强调文字颜色 1 4 2 3" xfId="86"/>
    <cellStyle name="20% - 强调文字颜色 1 4 2 4" xfId="87"/>
    <cellStyle name="20% - 强调文字颜色 1 4 2 5" xfId="88"/>
    <cellStyle name="20% - 强调文字颜色 1 4 2 6" xfId="89"/>
    <cellStyle name="20% - 强调文字颜色 1 4 3" xfId="90"/>
    <cellStyle name="20% - 强调文字颜色 1 4 4" xfId="91"/>
    <cellStyle name="20% - 强调文字颜色 1 4 5" xfId="92"/>
    <cellStyle name="20% - 强调文字颜色 1 4 6" xfId="93"/>
    <cellStyle name="20% - 强调文字颜色 1 4 7" xfId="94"/>
    <cellStyle name="20% - 强调文字颜色 1 5" xfId="95"/>
    <cellStyle name="20% - 强调文字颜色 1 5 2" xfId="96"/>
    <cellStyle name="20% - 强调文字颜色 1 5 2 2" xfId="97"/>
    <cellStyle name="20% - 强调文字颜色 1 5 2 3" xfId="98"/>
    <cellStyle name="20% - 强调文字颜色 1 5 2 4" xfId="99"/>
    <cellStyle name="20% - 强调文字颜色 1 5 2 5" xfId="100"/>
    <cellStyle name="20% - 强调文字颜色 1 5 2 6" xfId="101"/>
    <cellStyle name="20% - 强调文字颜色 1 5 3" xfId="102"/>
    <cellStyle name="20% - 强调文字颜色 1 5 4" xfId="103"/>
    <cellStyle name="20% - 强调文字颜色 1 5 5" xfId="104"/>
    <cellStyle name="20% - 强调文字颜色 1 5 6" xfId="105"/>
    <cellStyle name="20% - 强调文字颜色 1 5 7" xfId="106"/>
    <cellStyle name="20% - 强调文字颜色 1 6" xfId="107"/>
    <cellStyle name="20% - 强调文字颜色 1 7" xfId="108"/>
    <cellStyle name="20% - 强调文字颜色 1 7 2" xfId="109"/>
    <cellStyle name="20% - 强调文字颜色 1 7 3" xfId="110"/>
    <cellStyle name="20% - 强调文字颜色 1 7 4" xfId="111"/>
    <cellStyle name="20% - 强调文字颜色 1 7 5" xfId="112"/>
    <cellStyle name="20% - 强调文字颜色 1 7 6" xfId="113"/>
    <cellStyle name="20% - 强调文字颜色 1 8" xfId="114"/>
    <cellStyle name="20% - 强调文字颜色 1 9" xfId="115"/>
    <cellStyle name="20% - 强调文字颜色 2 10" xfId="116"/>
    <cellStyle name="20% - 强调文字颜色 2 11" xfId="117"/>
    <cellStyle name="20% - 强调文字颜色 2 12" xfId="118"/>
    <cellStyle name="20% - 强调文字颜色 2 2" xfId="119"/>
    <cellStyle name="20% - 强调文字颜色 2 2 10" xfId="120"/>
    <cellStyle name="20% - 强调文字颜色 2 2 2" xfId="121"/>
    <cellStyle name="20% - 强调文字颜色 2 2 2 2" xfId="122"/>
    <cellStyle name="20% - 强调文字颜色 2 2 2 2 2" xfId="123"/>
    <cellStyle name="20% - 强调文字颜色 2 2 2 2 3" xfId="124"/>
    <cellStyle name="20% - 强调文字颜色 2 2 2 2 4" xfId="125"/>
    <cellStyle name="20% - 强调文字颜色 2 2 2 2 5" xfId="126"/>
    <cellStyle name="20% - 强调文字颜色 2 2 2 2 6" xfId="127"/>
    <cellStyle name="20% - 强调文字颜色 2 2 2 3" xfId="128"/>
    <cellStyle name="20% - 强调文字颜色 2 2 2 4" xfId="129"/>
    <cellStyle name="20% - 强调文字颜色 2 2 2 5" xfId="130"/>
    <cellStyle name="20% - 强调文字颜色 2 2 2 6" xfId="131"/>
    <cellStyle name="20% - 强调文字颜色 2 2 2 7" xfId="132"/>
    <cellStyle name="20% - 强调文字颜色 2 2 3" xfId="133"/>
    <cellStyle name="20% - 强调文字颜色 2 2 3 2" xfId="134"/>
    <cellStyle name="20% - 强调文字颜色 2 2 3 2 2" xfId="135"/>
    <cellStyle name="20% - 强调文字颜色 2 2 3 2 3" xfId="136"/>
    <cellStyle name="20% - 强调文字颜色 2 2 3 2 4" xfId="137"/>
    <cellStyle name="20% - 强调文字颜色 2 2 3 2 5" xfId="138"/>
    <cellStyle name="20% - 强调文字颜色 2 2 3 2 6" xfId="139"/>
    <cellStyle name="20% - 强调文字颜色 2 2 3 3" xfId="140"/>
    <cellStyle name="20% - 强调文字颜色 2 2 3 4" xfId="141"/>
    <cellStyle name="20% - 强调文字颜色 2 2 3 5" xfId="142"/>
    <cellStyle name="20% - 强调文字颜色 2 2 3 6" xfId="143"/>
    <cellStyle name="20% - 强调文字颜色 2 2 3 7" xfId="144"/>
    <cellStyle name="20% - 强调文字颜色 2 2 4" xfId="145"/>
    <cellStyle name="20% - 强调文字颜色 2 2 4 2" xfId="146"/>
    <cellStyle name="20% - 强调文字颜色 2 2 4 2 2" xfId="147"/>
    <cellStyle name="20% - 强调文字颜色 2 2 4 2 3" xfId="148"/>
    <cellStyle name="20% - 强调文字颜色 2 2 4 2 4" xfId="149"/>
    <cellStyle name="20% - 强调文字颜色 2 2 4 2 5" xfId="150"/>
    <cellStyle name="20% - 强调文字颜色 2 2 4 2 6" xfId="151"/>
    <cellStyle name="20% - 强调文字颜色 2 2 4 3" xfId="152"/>
    <cellStyle name="20% - 强调文字颜色 2 2 4 4" xfId="153"/>
    <cellStyle name="20% - 强调文字颜色 2 2 4 5" xfId="154"/>
    <cellStyle name="20% - 强调文字颜色 2 2 4 6" xfId="155"/>
    <cellStyle name="20% - 强调文字颜色 2 2 4 7" xfId="156"/>
    <cellStyle name="20% - 强调文字颜色 2 2 5" xfId="157"/>
    <cellStyle name="20% - 强调文字颜色 2 2 5 2" xfId="158"/>
    <cellStyle name="20% - 强调文字颜色 2 2 5 3" xfId="159"/>
    <cellStyle name="20% - 强调文字颜色 2 2 5 4" xfId="160"/>
    <cellStyle name="20% - 强调文字颜色 2 2 5 5" xfId="161"/>
    <cellStyle name="20% - 强调文字颜色 2 2 5 6" xfId="162"/>
    <cellStyle name="20% - 强调文字颜色 2 2 6" xfId="163"/>
    <cellStyle name="20% - 强调文字颜色 2 2 7" xfId="164"/>
    <cellStyle name="20% - 强调文字颜色 2 2 8" xfId="165"/>
    <cellStyle name="20% - 强调文字颜色 2 2 9" xfId="166"/>
    <cellStyle name="20% - 强调文字颜色 2 3" xfId="167"/>
    <cellStyle name="20% - 强调文字颜色 2 3 2" xfId="168"/>
    <cellStyle name="20% - 强调文字颜色 2 3 2 2" xfId="169"/>
    <cellStyle name="20% - 强调文字颜色 2 3 2 3" xfId="170"/>
    <cellStyle name="20% - 强调文字颜色 2 3 2 4" xfId="171"/>
    <cellStyle name="20% - 强调文字颜色 2 3 2 5" xfId="172"/>
    <cellStyle name="20% - 强调文字颜色 2 3 2 6" xfId="173"/>
    <cellStyle name="20% - 强调文字颜色 2 3 3" xfId="174"/>
    <cellStyle name="20% - 强调文字颜色 2 3 4" xfId="175"/>
    <cellStyle name="20% - 强调文字颜色 2 3 5" xfId="176"/>
    <cellStyle name="20% - 强调文字颜色 2 3 6" xfId="177"/>
    <cellStyle name="20% - 强调文字颜色 2 3 7" xfId="178"/>
    <cellStyle name="20% - 强调文字颜色 2 4" xfId="179"/>
    <cellStyle name="20% - 强调文字颜色 2 4 2" xfId="180"/>
    <cellStyle name="20% - 强调文字颜色 2 4 2 2" xfId="181"/>
    <cellStyle name="20% - 强调文字颜色 2 4 2 3" xfId="182"/>
    <cellStyle name="20% - 强调文字颜色 2 4 2 4" xfId="183"/>
    <cellStyle name="20% - 强调文字颜色 2 4 2 5" xfId="184"/>
    <cellStyle name="20% - 强调文字颜色 2 4 2 6" xfId="185"/>
    <cellStyle name="20% - 强调文字颜色 2 4 3" xfId="186"/>
    <cellStyle name="20% - 强调文字颜色 2 4 4" xfId="187"/>
    <cellStyle name="20% - 强调文字颜色 2 4 5" xfId="188"/>
    <cellStyle name="20% - 强调文字颜色 2 4 6" xfId="189"/>
    <cellStyle name="20% - 强调文字颜色 2 4 7" xfId="190"/>
    <cellStyle name="20% - 强调文字颜色 2 5" xfId="191"/>
    <cellStyle name="20% - 强调文字颜色 2 5 2" xfId="192"/>
    <cellStyle name="20% - 强调文字颜色 2 5 2 2" xfId="193"/>
    <cellStyle name="20% - 强调文字颜色 2 5 2 3" xfId="194"/>
    <cellStyle name="20% - 强调文字颜色 2 5 2 4" xfId="195"/>
    <cellStyle name="20% - 强调文字颜色 2 5 2 5" xfId="196"/>
    <cellStyle name="20% - 强调文字颜色 2 5 2 6" xfId="197"/>
    <cellStyle name="20% - 强调文字颜色 2 5 3" xfId="198"/>
    <cellStyle name="20% - 强调文字颜色 2 5 4" xfId="199"/>
    <cellStyle name="20% - 强调文字颜色 2 5 5" xfId="200"/>
    <cellStyle name="20% - 强调文字颜色 2 5 6" xfId="201"/>
    <cellStyle name="20% - 强调文字颜色 2 5 7" xfId="202"/>
    <cellStyle name="20% - 强调文字颜色 2 6" xfId="203"/>
    <cellStyle name="20% - 强调文字颜色 2 7" xfId="204"/>
    <cellStyle name="20% - 强调文字颜色 2 7 2" xfId="205"/>
    <cellStyle name="20% - 强调文字颜色 2 7 3" xfId="206"/>
    <cellStyle name="20% - 强调文字颜色 2 7 4" xfId="207"/>
    <cellStyle name="20% - 强调文字颜色 2 7 5" xfId="208"/>
    <cellStyle name="20% - 强调文字颜色 2 7 6" xfId="209"/>
    <cellStyle name="20% - 强调文字颜色 2 8" xfId="210"/>
    <cellStyle name="20% - 强调文字颜色 2 9" xfId="211"/>
    <cellStyle name="20% - 强调文字颜色 3 10" xfId="212"/>
    <cellStyle name="20% - 强调文字颜色 3 11" xfId="213"/>
    <cellStyle name="20% - 强调文字颜色 3 12" xfId="214"/>
    <cellStyle name="20% - 强调文字颜色 3 2" xfId="215"/>
    <cellStyle name="20% - 强调文字颜色 3 2 10" xfId="216"/>
    <cellStyle name="20% - 强调文字颜色 3 2 2" xfId="217"/>
    <cellStyle name="20% - 强调文字颜色 3 2 2 2" xfId="218"/>
    <cellStyle name="20% - 强调文字颜色 3 2 2 2 2" xfId="219"/>
    <cellStyle name="20% - 强调文字颜色 3 2 2 2 3" xfId="220"/>
    <cellStyle name="20% - 强调文字颜色 3 2 2 2 4" xfId="221"/>
    <cellStyle name="20% - 强调文字颜色 3 2 2 2 5" xfId="222"/>
    <cellStyle name="20% - 强调文字颜色 3 2 2 2 6" xfId="223"/>
    <cellStyle name="20% - 强调文字颜色 3 2 2 3" xfId="224"/>
    <cellStyle name="20% - 强调文字颜色 3 2 2 4" xfId="225"/>
    <cellStyle name="20% - 强调文字颜色 3 2 2 5" xfId="226"/>
    <cellStyle name="20% - 强调文字颜色 3 2 2 6" xfId="227"/>
    <cellStyle name="20% - 强调文字颜色 3 2 2 7" xfId="228"/>
    <cellStyle name="20% - 强调文字颜色 3 2 3" xfId="229"/>
    <cellStyle name="20% - 强调文字颜色 3 2 3 2" xfId="230"/>
    <cellStyle name="20% - 强调文字颜色 3 2 3 2 2" xfId="231"/>
    <cellStyle name="20% - 强调文字颜色 3 2 3 2 3" xfId="232"/>
    <cellStyle name="20% - 强调文字颜色 3 2 3 2 4" xfId="233"/>
    <cellStyle name="20% - 强调文字颜色 3 2 3 2 5" xfId="234"/>
    <cellStyle name="20% - 强调文字颜色 3 2 3 2 6" xfId="235"/>
    <cellStyle name="20% - 强调文字颜色 3 2 3 3" xfId="236"/>
    <cellStyle name="20% - 强调文字颜色 3 2 3 4" xfId="237"/>
    <cellStyle name="20% - 强调文字颜色 3 2 3 5" xfId="238"/>
    <cellStyle name="20% - 强调文字颜色 3 2 3 6" xfId="239"/>
    <cellStyle name="20% - 强调文字颜色 3 2 3 7" xfId="240"/>
    <cellStyle name="20% - 强调文字颜色 3 2 4" xfId="241"/>
    <cellStyle name="20% - 强调文字颜色 3 2 4 2" xfId="242"/>
    <cellStyle name="20% - 强调文字颜色 3 2 4 2 2" xfId="243"/>
    <cellStyle name="20% - 强调文字颜色 3 2 4 2 3" xfId="244"/>
    <cellStyle name="20% - 强调文字颜色 3 2 4 2 4" xfId="245"/>
    <cellStyle name="20% - 强调文字颜色 3 2 4 2 5" xfId="246"/>
    <cellStyle name="20% - 强调文字颜色 3 2 4 2 6" xfId="247"/>
    <cellStyle name="20% - 强调文字颜色 3 2 4 3" xfId="248"/>
    <cellStyle name="20% - 强调文字颜色 3 2 4 4" xfId="249"/>
    <cellStyle name="20% - 强调文字颜色 3 2 4 5" xfId="250"/>
    <cellStyle name="20% - 强调文字颜色 3 2 4 6" xfId="251"/>
    <cellStyle name="20% - 强调文字颜色 3 2 4 7" xfId="252"/>
    <cellStyle name="20% - 强调文字颜色 3 2 5" xfId="253"/>
    <cellStyle name="20% - 强调文字颜色 3 2 5 2" xfId="254"/>
    <cellStyle name="20% - 强调文字颜色 3 2 5 3" xfId="255"/>
    <cellStyle name="20% - 强调文字颜色 3 2 5 4" xfId="256"/>
    <cellStyle name="20% - 强调文字颜色 3 2 5 5" xfId="257"/>
    <cellStyle name="20% - 强调文字颜色 3 2 5 6" xfId="258"/>
    <cellStyle name="20% - 强调文字颜色 3 2 6" xfId="259"/>
    <cellStyle name="20% - 强调文字颜色 3 2 7" xfId="260"/>
    <cellStyle name="20% - 强调文字颜色 3 2 8" xfId="261"/>
    <cellStyle name="20% - 强调文字颜色 3 2 9" xfId="262"/>
    <cellStyle name="20% - 强调文字颜色 3 3" xfId="263"/>
    <cellStyle name="20% - 强调文字颜色 3 3 2" xfId="264"/>
    <cellStyle name="20% - 强调文字颜色 3 3 2 2" xfId="265"/>
    <cellStyle name="20% - 强调文字颜色 3 3 2 3" xfId="266"/>
    <cellStyle name="20% - 强调文字颜色 3 3 2 4" xfId="267"/>
    <cellStyle name="20% - 强调文字颜色 3 3 2 5" xfId="268"/>
    <cellStyle name="20% - 强调文字颜色 3 3 2 6" xfId="269"/>
    <cellStyle name="20% - 强调文字颜色 3 3 3" xfId="270"/>
    <cellStyle name="20% - 强调文字颜色 3 3 4" xfId="271"/>
    <cellStyle name="20% - 强调文字颜色 3 3 5" xfId="272"/>
    <cellStyle name="20% - 强调文字颜色 3 3 6" xfId="273"/>
    <cellStyle name="20% - 强调文字颜色 3 3 7" xfId="274"/>
    <cellStyle name="20% - 强调文字颜色 3 4" xfId="275"/>
    <cellStyle name="20% - 强调文字颜色 3 4 2" xfId="276"/>
    <cellStyle name="20% - 强调文字颜色 3 4 2 2" xfId="277"/>
    <cellStyle name="20% - 强调文字颜色 3 4 2 3" xfId="278"/>
    <cellStyle name="20% - 强调文字颜色 3 4 2 4" xfId="279"/>
    <cellStyle name="20% - 强调文字颜色 3 4 2 5" xfId="280"/>
    <cellStyle name="20% - 强调文字颜色 3 4 2 6" xfId="281"/>
    <cellStyle name="20% - 强调文字颜色 3 4 3" xfId="282"/>
    <cellStyle name="20% - 强调文字颜色 3 4 4" xfId="283"/>
    <cellStyle name="20% - 强调文字颜色 3 4 5" xfId="284"/>
    <cellStyle name="20% - 强调文字颜色 3 4 6" xfId="285"/>
    <cellStyle name="20% - 强调文字颜色 3 4 7" xfId="286"/>
    <cellStyle name="20% - 强调文字颜色 3 5" xfId="287"/>
    <cellStyle name="20% - 强调文字颜色 3 5 2" xfId="288"/>
    <cellStyle name="20% - 强调文字颜色 3 5 2 2" xfId="289"/>
    <cellStyle name="20% - 强调文字颜色 3 5 2 3" xfId="290"/>
    <cellStyle name="20% - 强调文字颜色 3 5 2 4" xfId="291"/>
    <cellStyle name="20% - 强调文字颜色 3 5 2 5" xfId="292"/>
    <cellStyle name="20% - 强调文字颜色 3 5 2 6" xfId="293"/>
    <cellStyle name="20% - 强调文字颜色 3 5 3" xfId="294"/>
    <cellStyle name="20% - 强调文字颜色 3 5 4" xfId="295"/>
    <cellStyle name="20% - 强调文字颜色 3 5 5" xfId="296"/>
    <cellStyle name="20% - 强调文字颜色 3 5 6" xfId="297"/>
    <cellStyle name="20% - 强调文字颜色 3 5 7" xfId="298"/>
    <cellStyle name="20% - 强调文字颜色 3 6" xfId="299"/>
    <cellStyle name="20% - 强调文字颜色 3 7" xfId="300"/>
    <cellStyle name="20% - 强调文字颜色 3 7 2" xfId="301"/>
    <cellStyle name="20% - 强调文字颜色 3 7 3" xfId="302"/>
    <cellStyle name="20% - 强调文字颜色 3 7 4" xfId="303"/>
    <cellStyle name="20% - 强调文字颜色 3 7 5" xfId="304"/>
    <cellStyle name="20% - 强调文字颜色 3 7 6" xfId="305"/>
    <cellStyle name="20% - 强调文字颜色 3 8" xfId="306"/>
    <cellStyle name="20% - 强调文字颜色 3 9" xfId="307"/>
    <cellStyle name="20% - 强调文字颜色 4 10" xfId="308"/>
    <cellStyle name="20% - 强调文字颜色 4 11" xfId="309"/>
    <cellStyle name="20% - 强调文字颜色 4 12" xfId="310"/>
    <cellStyle name="20% - 强调文字颜色 4 2" xfId="311"/>
    <cellStyle name="20% - 强调文字颜色 4 2 10" xfId="312"/>
    <cellStyle name="20% - 强调文字颜色 4 2 2" xfId="313"/>
    <cellStyle name="20% - 强调文字颜色 4 2 2 2" xfId="314"/>
    <cellStyle name="20% - 强调文字颜色 4 2 2 2 2" xfId="315"/>
    <cellStyle name="20% - 强调文字颜色 4 2 2 2 3" xfId="316"/>
    <cellStyle name="20% - 强调文字颜色 4 2 2 2 4" xfId="317"/>
    <cellStyle name="20% - 强调文字颜色 4 2 2 2 5" xfId="318"/>
    <cellStyle name="20% - 强调文字颜色 4 2 2 2 6" xfId="319"/>
    <cellStyle name="20% - 强调文字颜色 4 2 2 3" xfId="320"/>
    <cellStyle name="20% - 强调文字颜色 4 2 2 4" xfId="321"/>
    <cellStyle name="20% - 强调文字颜色 4 2 2 5" xfId="322"/>
    <cellStyle name="20% - 强调文字颜色 4 2 2 6" xfId="323"/>
    <cellStyle name="20% - 强调文字颜色 4 2 2 7" xfId="324"/>
    <cellStyle name="20% - 强调文字颜色 4 2 3" xfId="325"/>
    <cellStyle name="20% - 强调文字颜色 4 2 3 2" xfId="326"/>
    <cellStyle name="20% - 强调文字颜色 4 2 3 2 2" xfId="327"/>
    <cellStyle name="20% - 强调文字颜色 4 2 3 2 3" xfId="328"/>
    <cellStyle name="20% - 强调文字颜色 4 2 3 2 4" xfId="329"/>
    <cellStyle name="20% - 强调文字颜色 4 2 3 2 5" xfId="330"/>
    <cellStyle name="20% - 强调文字颜色 4 2 3 2 6" xfId="331"/>
    <cellStyle name="20% - 强调文字颜色 4 2 3 3" xfId="332"/>
    <cellStyle name="20% - 强调文字颜色 4 2 3 4" xfId="333"/>
    <cellStyle name="20% - 强调文字颜色 4 2 3 5" xfId="334"/>
    <cellStyle name="20% - 强调文字颜色 4 2 3 6" xfId="335"/>
    <cellStyle name="20% - 强调文字颜色 4 2 3 7" xfId="336"/>
    <cellStyle name="20% - 强调文字颜色 4 2 4" xfId="337"/>
    <cellStyle name="20% - 强调文字颜色 4 2 4 2" xfId="338"/>
    <cellStyle name="20% - 强调文字颜色 4 2 4 2 2" xfId="339"/>
    <cellStyle name="20% - 强调文字颜色 4 2 4 2 3" xfId="340"/>
    <cellStyle name="20% - 强调文字颜色 4 2 4 2 4" xfId="341"/>
    <cellStyle name="20% - 强调文字颜色 4 2 4 2 5" xfId="342"/>
    <cellStyle name="20% - 强调文字颜色 4 2 4 2 6" xfId="343"/>
    <cellStyle name="20% - 强调文字颜色 4 2 4 3" xfId="344"/>
    <cellStyle name="20% - 强调文字颜色 4 2 4 4" xfId="345"/>
    <cellStyle name="20% - 强调文字颜色 4 2 4 5" xfId="346"/>
    <cellStyle name="20% - 强调文字颜色 4 2 4 6" xfId="347"/>
    <cellStyle name="20% - 强调文字颜色 4 2 4 7" xfId="348"/>
    <cellStyle name="20% - 强调文字颜色 4 2 5" xfId="349"/>
    <cellStyle name="20% - 强调文字颜色 4 2 5 2" xfId="350"/>
    <cellStyle name="20% - 强调文字颜色 4 2 5 3" xfId="351"/>
    <cellStyle name="20% - 强调文字颜色 4 2 5 4" xfId="352"/>
    <cellStyle name="20% - 强调文字颜色 4 2 5 5" xfId="353"/>
    <cellStyle name="20% - 强调文字颜色 4 2 5 6" xfId="354"/>
    <cellStyle name="20% - 强调文字颜色 4 2 6" xfId="355"/>
    <cellStyle name="20% - 强调文字颜色 4 2 7" xfId="356"/>
    <cellStyle name="20% - 强调文字颜色 4 2 8" xfId="357"/>
    <cellStyle name="20% - 强调文字颜色 4 2 9" xfId="358"/>
    <cellStyle name="20% - 强调文字颜色 4 3" xfId="359"/>
    <cellStyle name="20% - 强调文字颜色 4 3 2" xfId="360"/>
    <cellStyle name="20% - 强调文字颜色 4 3 2 2" xfId="361"/>
    <cellStyle name="20% - 强调文字颜色 4 3 2 3" xfId="362"/>
    <cellStyle name="20% - 强调文字颜色 4 3 2 4" xfId="363"/>
    <cellStyle name="20% - 强调文字颜色 4 3 2 5" xfId="364"/>
    <cellStyle name="20% - 强调文字颜色 4 3 2 6" xfId="365"/>
    <cellStyle name="20% - 强调文字颜色 4 3 3" xfId="366"/>
    <cellStyle name="20% - 强调文字颜色 4 3 4" xfId="367"/>
    <cellStyle name="20% - 强调文字颜色 4 3 5" xfId="368"/>
    <cellStyle name="20% - 强调文字颜色 4 3 6" xfId="369"/>
    <cellStyle name="20% - 强调文字颜色 4 3 7" xfId="370"/>
    <cellStyle name="20% - 强调文字颜色 4 4" xfId="371"/>
    <cellStyle name="20% - 强调文字颜色 4 4 2" xfId="372"/>
    <cellStyle name="20% - 强调文字颜色 4 4 2 2" xfId="373"/>
    <cellStyle name="20% - 强调文字颜色 4 4 2 3" xfId="374"/>
    <cellStyle name="20% - 强调文字颜色 4 4 2 4" xfId="375"/>
    <cellStyle name="20% - 强调文字颜色 4 4 2 5" xfId="376"/>
    <cellStyle name="20% - 强调文字颜色 4 4 2 6" xfId="377"/>
    <cellStyle name="20% - 强调文字颜色 4 4 3" xfId="378"/>
    <cellStyle name="20% - 强调文字颜色 4 4 4" xfId="379"/>
    <cellStyle name="20% - 强调文字颜色 4 4 5" xfId="380"/>
    <cellStyle name="20% - 强调文字颜色 4 4 6" xfId="381"/>
    <cellStyle name="20% - 强调文字颜色 4 4 7" xfId="382"/>
    <cellStyle name="20% - 强调文字颜色 4 5" xfId="383"/>
    <cellStyle name="20% - 强调文字颜色 4 5 2" xfId="384"/>
    <cellStyle name="20% - 强调文字颜色 4 5 2 2" xfId="385"/>
    <cellStyle name="20% - 强调文字颜色 4 5 2 3" xfId="386"/>
    <cellStyle name="20% - 强调文字颜色 4 5 2 4" xfId="387"/>
    <cellStyle name="20% - 强调文字颜色 4 5 2 5" xfId="388"/>
    <cellStyle name="20% - 强调文字颜色 4 5 2 6" xfId="389"/>
    <cellStyle name="20% - 强调文字颜色 4 5 3" xfId="390"/>
    <cellStyle name="20% - 强调文字颜色 4 5 4" xfId="391"/>
    <cellStyle name="20% - 强调文字颜色 4 5 5" xfId="392"/>
    <cellStyle name="20% - 强调文字颜色 4 5 6" xfId="393"/>
    <cellStyle name="20% - 强调文字颜色 4 5 7" xfId="394"/>
    <cellStyle name="20% - 强调文字颜色 4 6" xfId="395"/>
    <cellStyle name="20% - 强调文字颜色 4 7" xfId="396"/>
    <cellStyle name="20% - 强调文字颜色 4 7 2" xfId="397"/>
    <cellStyle name="20% - 强调文字颜色 4 7 3" xfId="398"/>
    <cellStyle name="20% - 强调文字颜色 4 7 4" xfId="399"/>
    <cellStyle name="20% - 强调文字颜色 4 7 5" xfId="400"/>
    <cellStyle name="20% - 强调文字颜色 4 7 6" xfId="401"/>
    <cellStyle name="20% - 强调文字颜色 4 8" xfId="402"/>
    <cellStyle name="20% - 强调文字颜色 4 9" xfId="403"/>
    <cellStyle name="20% - 强调文字颜色 5 10" xfId="404"/>
    <cellStyle name="20% - 强调文字颜色 5 11" xfId="405"/>
    <cellStyle name="20% - 强调文字颜色 5 12" xfId="406"/>
    <cellStyle name="20% - 强调文字颜色 5 2" xfId="407"/>
    <cellStyle name="20% - 强调文字颜色 5 2 10" xfId="408"/>
    <cellStyle name="20% - 强调文字颜色 5 2 2" xfId="409"/>
    <cellStyle name="20% - 强调文字颜色 5 2 2 2" xfId="410"/>
    <cellStyle name="20% - 强调文字颜色 5 2 2 2 2" xfId="411"/>
    <cellStyle name="20% - 强调文字颜色 5 2 2 2 3" xfId="412"/>
    <cellStyle name="20% - 强调文字颜色 5 2 2 2 4" xfId="413"/>
    <cellStyle name="20% - 强调文字颜色 5 2 2 2 5" xfId="414"/>
    <cellStyle name="20% - 强调文字颜色 5 2 2 2 6" xfId="415"/>
    <cellStyle name="20% - 强调文字颜色 5 2 2 3" xfId="416"/>
    <cellStyle name="20% - 强调文字颜色 5 2 2 4" xfId="417"/>
    <cellStyle name="20% - 强调文字颜色 5 2 2 5" xfId="418"/>
    <cellStyle name="20% - 强调文字颜色 5 2 2 6" xfId="419"/>
    <cellStyle name="20% - 强调文字颜色 5 2 2 7" xfId="420"/>
    <cellStyle name="20% - 强调文字颜色 5 2 3" xfId="421"/>
    <cellStyle name="20% - 强调文字颜色 5 2 3 2" xfId="422"/>
    <cellStyle name="20% - 强调文字颜色 5 2 3 2 2" xfId="423"/>
    <cellStyle name="20% - 强调文字颜色 5 2 3 2 3" xfId="424"/>
    <cellStyle name="20% - 强调文字颜色 5 2 3 2 4" xfId="425"/>
    <cellStyle name="20% - 强调文字颜色 5 2 3 2 5" xfId="426"/>
    <cellStyle name="20% - 强调文字颜色 5 2 3 2 6" xfId="427"/>
    <cellStyle name="20% - 强调文字颜色 5 2 3 3" xfId="428"/>
    <cellStyle name="20% - 强调文字颜色 5 2 3 4" xfId="429"/>
    <cellStyle name="20% - 强调文字颜色 5 2 3 5" xfId="430"/>
    <cellStyle name="20% - 强调文字颜色 5 2 3 6" xfId="431"/>
    <cellStyle name="20% - 强调文字颜色 5 2 3 7" xfId="432"/>
    <cellStyle name="20% - 强调文字颜色 5 2 4" xfId="433"/>
    <cellStyle name="20% - 强调文字颜色 5 2 4 2" xfId="434"/>
    <cellStyle name="20% - 强调文字颜色 5 2 4 2 2" xfId="435"/>
    <cellStyle name="20% - 强调文字颜色 5 2 4 2 3" xfId="436"/>
    <cellStyle name="20% - 强调文字颜色 5 2 4 2 4" xfId="437"/>
    <cellStyle name="20% - 强调文字颜色 5 2 4 2 5" xfId="438"/>
    <cellStyle name="20% - 强调文字颜色 5 2 4 2 6" xfId="439"/>
    <cellStyle name="20% - 强调文字颜色 5 2 4 3" xfId="440"/>
    <cellStyle name="20% - 强调文字颜色 5 2 4 4" xfId="441"/>
    <cellStyle name="20% - 强调文字颜色 5 2 4 5" xfId="442"/>
    <cellStyle name="20% - 强调文字颜色 5 2 4 6" xfId="443"/>
    <cellStyle name="20% - 强调文字颜色 5 2 4 7" xfId="444"/>
    <cellStyle name="20% - 强调文字颜色 5 2 5" xfId="445"/>
    <cellStyle name="20% - 强调文字颜色 5 2 5 2" xfId="446"/>
    <cellStyle name="20% - 强调文字颜色 5 2 5 3" xfId="447"/>
    <cellStyle name="20% - 强调文字颜色 5 2 5 4" xfId="448"/>
    <cellStyle name="20% - 强调文字颜色 5 2 5 5" xfId="449"/>
    <cellStyle name="20% - 强调文字颜色 5 2 5 6" xfId="450"/>
    <cellStyle name="20% - 强调文字颜色 5 2 6" xfId="451"/>
    <cellStyle name="20% - 强调文字颜色 5 2 7" xfId="452"/>
    <cellStyle name="20% - 强调文字颜色 5 2 8" xfId="453"/>
    <cellStyle name="20% - 强调文字颜色 5 2 9" xfId="454"/>
    <cellStyle name="20% - 强调文字颜色 5 3" xfId="455"/>
    <cellStyle name="20% - 强调文字颜色 5 3 2" xfId="456"/>
    <cellStyle name="20% - 强调文字颜色 5 3 2 2" xfId="457"/>
    <cellStyle name="20% - 强调文字颜色 5 3 2 3" xfId="458"/>
    <cellStyle name="20% - 强调文字颜色 5 3 2 4" xfId="459"/>
    <cellStyle name="20% - 强调文字颜色 5 3 2 5" xfId="460"/>
    <cellStyle name="20% - 强调文字颜色 5 3 2 6" xfId="461"/>
    <cellStyle name="20% - 强调文字颜色 5 3 3" xfId="462"/>
    <cellStyle name="20% - 强调文字颜色 5 3 4" xfId="463"/>
    <cellStyle name="20% - 强调文字颜色 5 3 5" xfId="464"/>
    <cellStyle name="20% - 强调文字颜色 5 3 6" xfId="465"/>
    <cellStyle name="20% - 强调文字颜色 5 3 7" xfId="466"/>
    <cellStyle name="20% - 强调文字颜色 5 4" xfId="467"/>
    <cellStyle name="20% - 强调文字颜色 5 4 2" xfId="468"/>
    <cellStyle name="20% - 强调文字颜色 5 4 2 2" xfId="469"/>
    <cellStyle name="20% - 强调文字颜色 5 4 2 3" xfId="470"/>
    <cellStyle name="20% - 强调文字颜色 5 4 2 4" xfId="471"/>
    <cellStyle name="20% - 强调文字颜色 5 4 2 5" xfId="472"/>
    <cellStyle name="20% - 强调文字颜色 5 4 2 6" xfId="473"/>
    <cellStyle name="20% - 强调文字颜色 5 4 3" xfId="474"/>
    <cellStyle name="20% - 强调文字颜色 5 4 4" xfId="475"/>
    <cellStyle name="20% - 强调文字颜色 5 4 5" xfId="476"/>
    <cellStyle name="20% - 强调文字颜色 5 4 6" xfId="477"/>
    <cellStyle name="20% - 强调文字颜色 5 4 7" xfId="478"/>
    <cellStyle name="20% - 强调文字颜色 5 5" xfId="479"/>
    <cellStyle name="20% - 强调文字颜色 5 5 2" xfId="480"/>
    <cellStyle name="20% - 强调文字颜色 5 5 2 2" xfId="481"/>
    <cellStyle name="20% - 强调文字颜色 5 5 2 3" xfId="482"/>
    <cellStyle name="20% - 强调文字颜色 5 5 2 4" xfId="483"/>
    <cellStyle name="20% - 强调文字颜色 5 5 2 5" xfId="484"/>
    <cellStyle name="20% - 强调文字颜色 5 5 2 6" xfId="485"/>
    <cellStyle name="20% - 强调文字颜色 5 5 3" xfId="486"/>
    <cellStyle name="20% - 强调文字颜色 5 5 4" xfId="487"/>
    <cellStyle name="20% - 强调文字颜色 5 5 5" xfId="488"/>
    <cellStyle name="20% - 强调文字颜色 5 5 6" xfId="489"/>
    <cellStyle name="20% - 强调文字颜色 5 5 7" xfId="490"/>
    <cellStyle name="20% - 强调文字颜色 5 6" xfId="491"/>
    <cellStyle name="20% - 强调文字颜色 5 7" xfId="492"/>
    <cellStyle name="20% - 强调文字颜色 5 7 2" xfId="493"/>
    <cellStyle name="20% - 强调文字颜色 5 7 3" xfId="494"/>
    <cellStyle name="20% - 强调文字颜色 5 7 4" xfId="495"/>
    <cellStyle name="20% - 强调文字颜色 5 7 5" xfId="496"/>
    <cellStyle name="20% - 强调文字颜色 5 7 6" xfId="497"/>
    <cellStyle name="20% - 强调文字颜色 5 8" xfId="498"/>
    <cellStyle name="20% - 强调文字颜色 5 9" xfId="499"/>
    <cellStyle name="20% - 强调文字颜色 6 10" xfId="500"/>
    <cellStyle name="20% - 强调文字颜色 6 11" xfId="501"/>
    <cellStyle name="20% - 强调文字颜色 6 12" xfId="502"/>
    <cellStyle name="20% - 强调文字颜色 6 2" xfId="503"/>
    <cellStyle name="20% - 强调文字颜色 6 2 10" xfId="504"/>
    <cellStyle name="20% - 强调文字颜色 6 2 2" xfId="505"/>
    <cellStyle name="20% - 强调文字颜色 6 2 2 2" xfId="506"/>
    <cellStyle name="20% - 强调文字颜色 6 2 2 2 2" xfId="507"/>
    <cellStyle name="20% - 强调文字颜色 6 2 2 2 3" xfId="508"/>
    <cellStyle name="20% - 强调文字颜色 6 2 2 2 4" xfId="509"/>
    <cellStyle name="20% - 强调文字颜色 6 2 2 2 5" xfId="510"/>
    <cellStyle name="20% - 强调文字颜色 6 2 2 2 6" xfId="511"/>
    <cellStyle name="20% - 强调文字颜色 6 2 2 3" xfId="512"/>
    <cellStyle name="20% - 强调文字颜色 6 2 2 4" xfId="513"/>
    <cellStyle name="20% - 强调文字颜色 6 2 2 5" xfId="514"/>
    <cellStyle name="20% - 强调文字颜色 6 2 2 6" xfId="515"/>
    <cellStyle name="20% - 强调文字颜色 6 2 2 7" xfId="516"/>
    <cellStyle name="20% - 强调文字颜色 6 2 3" xfId="517"/>
    <cellStyle name="20% - 强调文字颜色 6 2 3 2" xfId="518"/>
    <cellStyle name="20% - 强调文字颜色 6 2 3 2 2" xfId="519"/>
    <cellStyle name="20% - 强调文字颜色 6 2 3 2 3" xfId="520"/>
    <cellStyle name="20% - 强调文字颜色 6 2 3 2 4" xfId="521"/>
    <cellStyle name="20% - 强调文字颜色 6 2 3 2 5" xfId="522"/>
    <cellStyle name="20% - 强调文字颜色 6 2 3 2 6" xfId="523"/>
    <cellStyle name="20% - 强调文字颜色 6 2 3 3" xfId="524"/>
    <cellStyle name="20% - 强调文字颜色 6 2 3 4" xfId="525"/>
    <cellStyle name="20% - 强调文字颜色 6 2 3 5" xfId="526"/>
    <cellStyle name="20% - 强调文字颜色 6 2 3 6" xfId="527"/>
    <cellStyle name="20% - 强调文字颜色 6 2 3 7" xfId="528"/>
    <cellStyle name="20% - 强调文字颜色 6 2 4" xfId="529"/>
    <cellStyle name="20% - 强调文字颜色 6 2 4 2" xfId="530"/>
    <cellStyle name="20% - 强调文字颜色 6 2 4 2 2" xfId="531"/>
    <cellStyle name="20% - 强调文字颜色 6 2 4 2 3" xfId="532"/>
    <cellStyle name="20% - 强调文字颜色 6 2 4 2 4" xfId="533"/>
    <cellStyle name="20% - 强调文字颜色 6 2 4 2 5" xfId="534"/>
    <cellStyle name="20% - 强调文字颜色 6 2 4 2 6" xfId="535"/>
    <cellStyle name="20% - 强调文字颜色 6 2 4 3" xfId="536"/>
    <cellStyle name="20% - 强调文字颜色 6 2 4 4" xfId="537"/>
    <cellStyle name="20% - 强调文字颜色 6 2 4 5" xfId="538"/>
    <cellStyle name="20% - 强调文字颜色 6 2 4 6" xfId="539"/>
    <cellStyle name="20% - 强调文字颜色 6 2 4 7" xfId="540"/>
    <cellStyle name="20% - 强调文字颜色 6 2 5" xfId="541"/>
    <cellStyle name="20% - 强调文字颜色 6 2 5 2" xfId="542"/>
    <cellStyle name="20% - 强调文字颜色 6 2 5 3" xfId="543"/>
    <cellStyle name="20% - 强调文字颜色 6 2 5 4" xfId="544"/>
    <cellStyle name="20% - 强调文字颜色 6 2 5 5" xfId="545"/>
    <cellStyle name="20% - 强调文字颜色 6 2 5 6" xfId="546"/>
    <cellStyle name="20% - 强调文字颜色 6 2 6" xfId="547"/>
    <cellStyle name="20% - 强调文字颜色 6 2 7" xfId="548"/>
    <cellStyle name="20% - 强调文字颜色 6 2 8" xfId="549"/>
    <cellStyle name="20% - 强调文字颜色 6 2 9" xfId="550"/>
    <cellStyle name="20% - 强调文字颜色 6 3" xfId="551"/>
    <cellStyle name="20% - 强调文字颜色 6 3 2" xfId="552"/>
    <cellStyle name="20% - 强调文字颜色 6 3 2 2" xfId="553"/>
    <cellStyle name="20% - 强调文字颜色 6 3 2 3" xfId="554"/>
    <cellStyle name="20% - 强调文字颜色 6 3 2 4" xfId="555"/>
    <cellStyle name="20% - 强调文字颜色 6 3 2 5" xfId="556"/>
    <cellStyle name="20% - 强调文字颜色 6 3 2 6" xfId="557"/>
    <cellStyle name="20% - 强调文字颜色 6 3 3" xfId="558"/>
    <cellStyle name="20% - 强调文字颜色 6 3 4" xfId="559"/>
    <cellStyle name="20% - 强调文字颜色 6 3 5" xfId="560"/>
    <cellStyle name="20% - 强调文字颜色 6 3 6" xfId="561"/>
    <cellStyle name="20% - 强调文字颜色 6 3 7" xfId="562"/>
    <cellStyle name="20% - 强调文字颜色 6 4" xfId="563"/>
    <cellStyle name="20% - 强调文字颜色 6 4 2" xfId="564"/>
    <cellStyle name="20% - 强调文字颜色 6 4 2 2" xfId="565"/>
    <cellStyle name="20% - 强调文字颜色 6 4 2 3" xfId="566"/>
    <cellStyle name="20% - 强调文字颜色 6 4 2 4" xfId="567"/>
    <cellStyle name="20% - 强调文字颜色 6 4 2 5" xfId="568"/>
    <cellStyle name="20% - 强调文字颜色 6 4 2 6" xfId="569"/>
    <cellStyle name="20% - 强调文字颜色 6 4 3" xfId="570"/>
    <cellStyle name="20% - 强调文字颜色 6 4 4" xfId="571"/>
    <cellStyle name="20% - 强调文字颜色 6 4 5" xfId="572"/>
    <cellStyle name="20% - 强调文字颜色 6 4 6" xfId="573"/>
    <cellStyle name="20% - 强调文字颜色 6 4 7" xfId="574"/>
    <cellStyle name="20% - 强调文字颜色 6 5" xfId="575"/>
    <cellStyle name="20% - 强调文字颜色 6 5 2" xfId="576"/>
    <cellStyle name="20% - 强调文字颜色 6 5 2 2" xfId="577"/>
    <cellStyle name="20% - 强调文字颜色 6 5 2 3" xfId="578"/>
    <cellStyle name="20% - 强调文字颜色 6 5 2 4" xfId="579"/>
    <cellStyle name="20% - 强调文字颜色 6 5 2 5" xfId="580"/>
    <cellStyle name="20% - 强调文字颜色 6 5 2 6" xfId="581"/>
    <cellStyle name="20% - 强调文字颜色 6 5 3" xfId="582"/>
    <cellStyle name="20% - 强调文字颜色 6 5 4" xfId="583"/>
    <cellStyle name="20% - 强调文字颜色 6 5 5" xfId="584"/>
    <cellStyle name="20% - 强调文字颜色 6 5 6" xfId="585"/>
    <cellStyle name="20% - 强调文字颜色 6 5 7" xfId="586"/>
    <cellStyle name="20% - 强调文字颜色 6 6" xfId="587"/>
    <cellStyle name="20% - 强调文字颜色 6 7" xfId="588"/>
    <cellStyle name="20% - 强调文字颜色 6 7 2" xfId="589"/>
    <cellStyle name="20% - 强调文字颜色 6 7 3" xfId="590"/>
    <cellStyle name="20% - 强调文字颜色 6 7 4" xfId="591"/>
    <cellStyle name="20% - 强调文字颜色 6 7 5" xfId="592"/>
    <cellStyle name="20% - 强调文字颜色 6 7 6" xfId="593"/>
    <cellStyle name="20% - 强调文字颜色 6 8" xfId="594"/>
    <cellStyle name="20% - 强调文字颜色 6 9" xfId="595"/>
    <cellStyle name="20% - 着色 1 4" xfId="596"/>
    <cellStyle name="20% - 着色 1 2" xfId="597"/>
    <cellStyle name="20% - 着色 1 3" xfId="598"/>
    <cellStyle name="20% - 着色 2 4" xfId="599"/>
    <cellStyle name="20% - 着色 2 2" xfId="600"/>
    <cellStyle name="20% - 着色 2 3" xfId="601"/>
    <cellStyle name="20% - 着色 3 4" xfId="602"/>
    <cellStyle name="20% - 着色 3 2" xfId="603"/>
    <cellStyle name="20% - 着色 3 3" xfId="604"/>
    <cellStyle name="20% - 着色 4 4" xfId="605"/>
    <cellStyle name="20% - 着色 4 2" xfId="606"/>
    <cellStyle name="20% - 着色 4 3" xfId="607"/>
    <cellStyle name="20% - 着色 5 4" xfId="608"/>
    <cellStyle name="20% - 着色 5 2" xfId="609"/>
    <cellStyle name="20% - 着色 5 3" xfId="610"/>
    <cellStyle name="20% - 着色 6 4" xfId="611"/>
    <cellStyle name="20% - 着色 6 2" xfId="612"/>
    <cellStyle name="20% - 着色 6 3" xfId="613"/>
    <cellStyle name="40% - 强调文字颜色 1 10" xfId="614"/>
    <cellStyle name="40% - 强调文字颜色 1 11" xfId="615"/>
    <cellStyle name="40% - 强调文字颜色 1 12" xfId="616"/>
    <cellStyle name="40% - 强调文字颜色 1 2" xfId="617"/>
    <cellStyle name="40% - 强调文字颜色 1 2 10" xfId="618"/>
    <cellStyle name="40% - 强调文字颜色 1 2 2" xfId="619"/>
    <cellStyle name="40% - 强调文字颜色 1 2 2 2" xfId="620"/>
    <cellStyle name="40% - 强调文字颜色 1 2 2 2 2" xfId="621"/>
    <cellStyle name="40% - 强调文字颜色 1 2 2 2 3" xfId="622"/>
    <cellStyle name="40% - 强调文字颜色 1 2 2 2 4" xfId="623"/>
    <cellStyle name="40% - 强调文字颜色 1 2 2 2 5" xfId="624"/>
    <cellStyle name="40% - 强调文字颜色 1 2 2 2 6" xfId="625"/>
    <cellStyle name="40% - 强调文字颜色 1 2 2 3" xfId="626"/>
    <cellStyle name="40% - 强调文字颜色 1 2 2 4" xfId="627"/>
    <cellStyle name="40% - 强调文字颜色 1 2 2 5" xfId="628"/>
    <cellStyle name="40% - 强调文字颜色 1 2 2 6" xfId="629"/>
    <cellStyle name="40% - 强调文字颜色 1 2 2 7" xfId="630"/>
    <cellStyle name="40% - 强调文字颜色 1 2 3" xfId="631"/>
    <cellStyle name="40% - 强调文字颜色 1 2 3 2" xfId="632"/>
    <cellStyle name="40% - 强调文字颜色 1 2 3 2 2" xfId="633"/>
    <cellStyle name="40% - 强调文字颜色 1 2 3 2 3" xfId="634"/>
    <cellStyle name="40% - 强调文字颜色 1 2 3 2 4" xfId="635"/>
    <cellStyle name="40% - 强调文字颜色 1 2 3 2 5" xfId="636"/>
    <cellStyle name="40% - 强调文字颜色 1 2 3 2 6" xfId="637"/>
    <cellStyle name="40% - 强调文字颜色 1 2 3 3" xfId="638"/>
    <cellStyle name="40% - 强调文字颜色 1 2 3 4" xfId="639"/>
    <cellStyle name="40% - 强调文字颜色 1 2 3 5" xfId="640"/>
    <cellStyle name="40% - 强调文字颜色 1 2 3 6" xfId="641"/>
    <cellStyle name="40% - 强调文字颜色 1 2 3 7" xfId="642"/>
    <cellStyle name="40% - 强调文字颜色 1 2 4" xfId="643"/>
    <cellStyle name="40% - 强调文字颜色 1 2 4 2" xfId="644"/>
    <cellStyle name="40% - 强调文字颜色 1 2 4 2 2" xfId="645"/>
    <cellStyle name="40% - 强调文字颜色 1 2 4 2 3" xfId="646"/>
    <cellStyle name="40% - 强调文字颜色 1 2 4 2 4" xfId="647"/>
    <cellStyle name="40% - 强调文字颜色 1 2 4 2 5" xfId="648"/>
    <cellStyle name="40% - 强调文字颜色 1 2 4 2 6" xfId="649"/>
    <cellStyle name="40% - 强调文字颜色 1 2 4 3" xfId="650"/>
    <cellStyle name="40% - 强调文字颜色 1 2 4 4" xfId="651"/>
    <cellStyle name="40% - 强调文字颜色 1 2 4 5" xfId="652"/>
    <cellStyle name="40% - 强调文字颜色 1 2 4 6" xfId="653"/>
    <cellStyle name="40% - 强调文字颜色 1 2 4 7" xfId="654"/>
    <cellStyle name="40% - 强调文字颜色 1 2 5" xfId="655"/>
    <cellStyle name="40% - 强调文字颜色 1 2 5 2" xfId="656"/>
    <cellStyle name="40% - 强调文字颜色 1 2 5 3" xfId="657"/>
    <cellStyle name="40% - 强调文字颜色 1 2 5 4" xfId="658"/>
    <cellStyle name="40% - 强调文字颜色 1 2 5 5" xfId="659"/>
    <cellStyle name="40% - 强调文字颜色 1 2 5 6" xfId="660"/>
    <cellStyle name="40% - 强调文字颜色 1 2 6" xfId="661"/>
    <cellStyle name="40% - 强调文字颜色 1 2 7" xfId="662"/>
    <cellStyle name="40% - 强调文字颜色 1 2 8" xfId="663"/>
    <cellStyle name="40% - 强调文字颜色 1 2 9" xfId="664"/>
    <cellStyle name="40% - 强调文字颜色 1 3" xfId="665"/>
    <cellStyle name="40% - 强调文字颜色 1 3 2" xfId="666"/>
    <cellStyle name="40% - 强调文字颜色 1 3 2 2" xfId="667"/>
    <cellStyle name="40% - 强调文字颜色 1 3 2 3" xfId="668"/>
    <cellStyle name="40% - 强调文字颜色 1 3 2 4" xfId="669"/>
    <cellStyle name="40% - 强调文字颜色 1 3 2 5" xfId="670"/>
    <cellStyle name="40% - 强调文字颜色 1 3 2 6" xfId="671"/>
    <cellStyle name="40% - 强调文字颜色 1 3 3" xfId="672"/>
    <cellStyle name="40% - 强调文字颜色 1 3 4" xfId="673"/>
    <cellStyle name="40% - 强调文字颜色 1 3 5" xfId="674"/>
    <cellStyle name="40% - 强调文字颜色 1 3 6" xfId="675"/>
    <cellStyle name="40% - 强调文字颜色 1 3 7" xfId="676"/>
    <cellStyle name="40% - 强调文字颜色 1 4" xfId="677"/>
    <cellStyle name="40% - 强调文字颜色 1 4 2" xfId="678"/>
    <cellStyle name="40% - 强调文字颜色 1 4 2 2" xfId="679"/>
    <cellStyle name="40% - 强调文字颜色 1 4 2 3" xfId="680"/>
    <cellStyle name="40% - 强调文字颜色 1 4 2 4" xfId="681"/>
    <cellStyle name="40% - 强调文字颜色 1 4 2 5" xfId="682"/>
    <cellStyle name="40% - 强调文字颜色 1 4 2 6" xfId="683"/>
    <cellStyle name="40% - 强调文字颜色 1 4 3" xfId="684"/>
    <cellStyle name="40% - 强调文字颜色 1 4 4" xfId="685"/>
    <cellStyle name="40% - 强调文字颜色 1 4 5" xfId="686"/>
    <cellStyle name="40% - 强调文字颜色 1 4 6" xfId="687"/>
    <cellStyle name="40% - 强调文字颜色 1 4 7" xfId="688"/>
    <cellStyle name="40% - 强调文字颜色 1 5" xfId="689"/>
    <cellStyle name="40% - 强调文字颜色 1 5 2" xfId="690"/>
    <cellStyle name="40% - 强调文字颜色 1 5 2 2" xfId="691"/>
    <cellStyle name="40% - 强调文字颜色 1 5 2 3" xfId="692"/>
    <cellStyle name="40% - 强调文字颜色 1 5 2 4" xfId="693"/>
    <cellStyle name="40% - 强调文字颜色 1 5 2 5" xfId="694"/>
    <cellStyle name="40% - 强调文字颜色 1 5 2 6" xfId="695"/>
    <cellStyle name="40% - 强调文字颜色 1 5 3" xfId="696"/>
    <cellStyle name="40% - 强调文字颜色 1 5 4" xfId="697"/>
    <cellStyle name="40% - 强调文字颜色 1 5 5" xfId="698"/>
    <cellStyle name="40% - 强调文字颜色 1 5 6" xfId="699"/>
    <cellStyle name="40% - 强调文字颜色 1 5 7" xfId="700"/>
    <cellStyle name="40% - 强调文字颜色 1 6" xfId="701"/>
    <cellStyle name="40% - 强调文字颜色 1 7" xfId="702"/>
    <cellStyle name="40% - 强调文字颜色 1 7 2" xfId="703"/>
    <cellStyle name="40% - 强调文字颜色 1 7 3" xfId="704"/>
    <cellStyle name="40% - 强调文字颜色 1 7 4" xfId="705"/>
    <cellStyle name="40% - 强调文字颜色 1 7 5" xfId="706"/>
    <cellStyle name="40% - 强调文字颜色 1 7 6" xfId="707"/>
    <cellStyle name="40% - 强调文字颜色 1 8" xfId="708"/>
    <cellStyle name="40% - 强调文字颜色 1 9" xfId="709"/>
    <cellStyle name="40% - 强调文字颜色 2 10" xfId="710"/>
    <cellStyle name="40% - 强调文字颜色 2 11" xfId="711"/>
    <cellStyle name="40% - 强调文字颜色 2 12" xfId="712"/>
    <cellStyle name="40% - 强调文字颜色 2 2" xfId="713"/>
    <cellStyle name="40% - 强调文字颜色 2 2 10" xfId="714"/>
    <cellStyle name="40% - 强调文字颜色 2 2 2" xfId="715"/>
    <cellStyle name="40% - 强调文字颜色 2 2 2 2" xfId="716"/>
    <cellStyle name="40% - 强调文字颜色 2 2 2 2 2" xfId="717"/>
    <cellStyle name="40% - 强调文字颜色 2 2 2 2 3" xfId="718"/>
    <cellStyle name="40% - 强调文字颜色 2 2 2 2 4" xfId="719"/>
    <cellStyle name="40% - 强调文字颜色 2 2 2 2 5" xfId="720"/>
    <cellStyle name="40% - 强调文字颜色 2 2 2 2 6" xfId="721"/>
    <cellStyle name="40% - 强调文字颜色 2 2 2 3" xfId="722"/>
    <cellStyle name="40% - 强调文字颜色 2 2 2 4" xfId="723"/>
    <cellStyle name="40% - 强调文字颜色 2 2 2 5" xfId="724"/>
    <cellStyle name="40% - 强调文字颜色 2 2 2 6" xfId="725"/>
    <cellStyle name="40% - 强调文字颜色 2 2 2 7" xfId="726"/>
    <cellStyle name="40% - 强调文字颜色 2 2 3" xfId="727"/>
    <cellStyle name="40% - 强调文字颜色 2 2 3 2" xfId="728"/>
    <cellStyle name="40% - 强调文字颜色 2 2 3 2 2" xfId="729"/>
    <cellStyle name="40% - 强调文字颜色 2 2 3 2 3" xfId="730"/>
    <cellStyle name="40% - 强调文字颜色 2 2 3 2 4" xfId="731"/>
    <cellStyle name="40% - 强调文字颜色 2 2 3 2 5" xfId="732"/>
    <cellStyle name="40% - 强调文字颜色 2 2 3 2 6" xfId="733"/>
    <cellStyle name="40% - 强调文字颜色 2 2 3 3" xfId="734"/>
    <cellStyle name="40% - 强调文字颜色 2 2 3 4" xfId="735"/>
    <cellStyle name="40% - 强调文字颜色 2 2 3 5" xfId="736"/>
    <cellStyle name="40% - 强调文字颜色 2 2 3 6" xfId="737"/>
    <cellStyle name="40% - 强调文字颜色 2 2 3 7" xfId="738"/>
    <cellStyle name="40% - 强调文字颜色 2 2 4" xfId="739"/>
    <cellStyle name="40% - 强调文字颜色 2 2 4 2" xfId="740"/>
    <cellStyle name="40% - 强调文字颜色 2 2 4 2 2" xfId="741"/>
    <cellStyle name="40% - 强调文字颜色 2 2 4 2 3" xfId="742"/>
    <cellStyle name="40% - 强调文字颜色 2 2 4 2 4" xfId="743"/>
    <cellStyle name="40% - 强调文字颜色 2 2 4 2 5" xfId="744"/>
    <cellStyle name="40% - 强调文字颜色 2 2 4 2 6" xfId="745"/>
    <cellStyle name="40% - 强调文字颜色 2 2 4 3" xfId="746"/>
    <cellStyle name="40% - 强调文字颜色 2 2 4 4" xfId="747"/>
    <cellStyle name="40% - 强调文字颜色 2 2 4 5" xfId="748"/>
    <cellStyle name="40% - 强调文字颜色 2 2 4 6" xfId="749"/>
    <cellStyle name="40% - 强调文字颜色 2 2 4 7" xfId="750"/>
    <cellStyle name="40% - 强调文字颜色 2 2 5" xfId="751"/>
    <cellStyle name="40% - 强调文字颜色 2 2 5 2" xfId="752"/>
    <cellStyle name="40% - 强调文字颜色 2 2 5 3" xfId="753"/>
    <cellStyle name="40% - 强调文字颜色 2 2 5 4" xfId="754"/>
    <cellStyle name="40% - 强调文字颜色 2 2 5 5" xfId="755"/>
    <cellStyle name="40% - 强调文字颜色 2 2 5 6" xfId="756"/>
    <cellStyle name="40% - 强调文字颜色 2 2 6" xfId="757"/>
    <cellStyle name="40% - 强调文字颜色 2 2 7" xfId="758"/>
    <cellStyle name="40% - 强调文字颜色 2 2 8" xfId="759"/>
    <cellStyle name="40% - 强调文字颜色 2 2 9" xfId="760"/>
    <cellStyle name="40% - 强调文字颜色 2 3" xfId="761"/>
    <cellStyle name="40% - 强调文字颜色 2 3 2" xfId="762"/>
    <cellStyle name="40% - 强调文字颜色 2 3 2 2" xfId="763"/>
    <cellStyle name="40% - 强调文字颜色 2 3 2 3" xfId="764"/>
    <cellStyle name="40% - 强调文字颜色 2 3 2 4" xfId="765"/>
    <cellStyle name="40% - 强调文字颜色 2 3 2 5" xfId="766"/>
    <cellStyle name="40% - 强调文字颜色 2 3 2 6" xfId="767"/>
    <cellStyle name="40% - 强调文字颜色 2 3 3" xfId="768"/>
    <cellStyle name="40% - 强调文字颜色 2 3 4" xfId="769"/>
    <cellStyle name="40% - 强调文字颜色 2 3 5" xfId="770"/>
    <cellStyle name="40% - 强调文字颜色 2 3 6" xfId="771"/>
    <cellStyle name="40% - 强调文字颜色 2 3 7" xfId="772"/>
    <cellStyle name="40% - 强调文字颜色 2 4" xfId="773"/>
    <cellStyle name="40% - 强调文字颜色 2 4 2" xfId="774"/>
    <cellStyle name="40% - 强调文字颜色 2 4 2 2" xfId="775"/>
    <cellStyle name="40% - 强调文字颜色 2 4 2 3" xfId="776"/>
    <cellStyle name="40% - 强调文字颜色 2 4 2 4" xfId="777"/>
    <cellStyle name="40% - 强调文字颜色 2 4 2 5" xfId="778"/>
    <cellStyle name="40% - 强调文字颜色 2 4 2 6" xfId="779"/>
    <cellStyle name="40% - 强调文字颜色 2 4 3" xfId="780"/>
    <cellStyle name="40% - 强调文字颜色 2 4 4" xfId="781"/>
    <cellStyle name="40% - 强调文字颜色 2 4 5" xfId="782"/>
    <cellStyle name="40% - 强调文字颜色 2 4 6" xfId="783"/>
    <cellStyle name="40% - 强调文字颜色 2 4 7" xfId="784"/>
    <cellStyle name="40% - 强调文字颜色 2 5" xfId="785"/>
    <cellStyle name="40% - 强调文字颜色 2 5 2" xfId="786"/>
    <cellStyle name="40% - 强调文字颜色 2 5 2 2" xfId="787"/>
    <cellStyle name="40% - 强调文字颜色 2 5 2 3" xfId="788"/>
    <cellStyle name="40% - 强调文字颜色 2 5 2 4" xfId="789"/>
    <cellStyle name="40% - 强调文字颜色 2 5 2 5" xfId="790"/>
    <cellStyle name="40% - 强调文字颜色 2 5 2 6" xfId="791"/>
    <cellStyle name="40% - 强调文字颜色 2 5 3" xfId="792"/>
    <cellStyle name="40% - 强调文字颜色 2 5 4" xfId="793"/>
    <cellStyle name="40% - 强调文字颜色 2 5 5" xfId="794"/>
    <cellStyle name="40% - 强调文字颜色 2 5 6" xfId="795"/>
    <cellStyle name="40% - 强调文字颜色 2 5 7" xfId="796"/>
    <cellStyle name="40% - 强调文字颜色 2 6" xfId="797"/>
    <cellStyle name="40% - 强调文字颜色 2 7" xfId="798"/>
    <cellStyle name="40% - 强调文字颜色 2 7 2" xfId="799"/>
    <cellStyle name="40% - 强调文字颜色 2 7 3" xfId="800"/>
    <cellStyle name="40% - 强调文字颜色 2 7 4" xfId="801"/>
    <cellStyle name="40% - 强调文字颜色 2 7 5" xfId="802"/>
    <cellStyle name="40% - 强调文字颜色 2 7 6" xfId="803"/>
    <cellStyle name="40% - 强调文字颜色 2 8" xfId="804"/>
    <cellStyle name="40% - 强调文字颜色 2 9" xfId="805"/>
    <cellStyle name="40% - 强调文字颜色 3 10" xfId="806"/>
    <cellStyle name="40% - 强调文字颜色 3 11" xfId="807"/>
    <cellStyle name="40% - 强调文字颜色 3 12" xfId="808"/>
    <cellStyle name="40% - 强调文字颜色 3 2" xfId="809"/>
    <cellStyle name="40% - 强调文字颜色 3 2 10" xfId="810"/>
    <cellStyle name="40% - 强调文字颜色 3 2 2" xfId="811"/>
    <cellStyle name="40% - 强调文字颜色 3 2 2 2" xfId="812"/>
    <cellStyle name="40% - 强调文字颜色 3 2 2 2 2" xfId="813"/>
    <cellStyle name="40% - 强调文字颜色 3 2 2 2 3" xfId="814"/>
    <cellStyle name="40% - 强调文字颜色 3 2 2 2 4" xfId="815"/>
    <cellStyle name="40% - 强调文字颜色 3 2 2 2 5" xfId="816"/>
    <cellStyle name="40% - 强调文字颜色 3 2 2 2 6" xfId="817"/>
    <cellStyle name="40% - 强调文字颜色 3 2 2 3" xfId="818"/>
    <cellStyle name="40% - 强调文字颜色 3 2 2 4" xfId="819"/>
    <cellStyle name="40% - 强调文字颜色 3 2 2 5" xfId="820"/>
    <cellStyle name="40% - 强调文字颜色 3 2 2 6" xfId="821"/>
    <cellStyle name="40% - 强调文字颜色 3 2 2 7" xfId="822"/>
    <cellStyle name="40% - 强调文字颜色 3 2 3" xfId="823"/>
    <cellStyle name="40% - 强调文字颜色 3 2 3 2" xfId="824"/>
    <cellStyle name="40% - 强调文字颜色 3 2 3 2 2" xfId="825"/>
    <cellStyle name="40% - 强调文字颜色 3 2 3 2 3" xfId="826"/>
    <cellStyle name="40% - 强调文字颜色 3 2 3 2 4" xfId="827"/>
    <cellStyle name="40% - 强调文字颜色 3 2 3 2 5" xfId="828"/>
    <cellStyle name="40% - 强调文字颜色 3 2 3 2 6" xfId="829"/>
    <cellStyle name="40% - 强调文字颜色 3 2 3 3" xfId="830"/>
    <cellStyle name="40% - 强调文字颜色 3 2 3 4" xfId="831"/>
    <cellStyle name="40% - 强调文字颜色 3 2 3 5" xfId="832"/>
    <cellStyle name="40% - 强调文字颜色 3 2 3 6" xfId="833"/>
    <cellStyle name="40% - 强调文字颜色 3 2 3 7" xfId="834"/>
    <cellStyle name="40% - 强调文字颜色 3 2 4" xfId="835"/>
    <cellStyle name="40% - 强调文字颜色 3 2 4 2" xfId="836"/>
    <cellStyle name="40% - 强调文字颜色 3 2 4 2 2" xfId="837"/>
    <cellStyle name="40% - 强调文字颜色 3 2 4 2 3" xfId="838"/>
    <cellStyle name="40% - 强调文字颜色 3 2 4 2 4" xfId="839"/>
    <cellStyle name="40% - 强调文字颜色 3 2 4 2 5" xfId="840"/>
    <cellStyle name="40% - 强调文字颜色 3 2 4 2 6" xfId="841"/>
    <cellStyle name="40% - 强调文字颜色 3 2 4 3" xfId="842"/>
    <cellStyle name="40% - 强调文字颜色 3 2 4 4" xfId="843"/>
    <cellStyle name="40% - 强调文字颜色 3 2 4 5" xfId="844"/>
    <cellStyle name="40% - 强调文字颜色 3 2 4 6" xfId="845"/>
    <cellStyle name="40% - 强调文字颜色 3 2 4 7" xfId="846"/>
    <cellStyle name="40% - 强调文字颜色 3 2 5" xfId="847"/>
    <cellStyle name="40% - 强调文字颜色 3 2 5 2" xfId="848"/>
    <cellStyle name="40% - 强调文字颜色 3 2 5 3" xfId="849"/>
    <cellStyle name="40% - 强调文字颜色 3 2 5 4" xfId="850"/>
    <cellStyle name="40% - 强调文字颜色 3 2 5 5" xfId="851"/>
    <cellStyle name="40% - 强调文字颜色 3 2 5 6" xfId="852"/>
    <cellStyle name="40% - 强调文字颜色 3 2 6" xfId="853"/>
    <cellStyle name="40% - 强调文字颜色 3 2 7" xfId="854"/>
    <cellStyle name="40% - 强调文字颜色 3 2 8" xfId="855"/>
    <cellStyle name="40% - 强调文字颜色 3 2 9" xfId="856"/>
    <cellStyle name="40% - 强调文字颜色 3 3" xfId="857"/>
    <cellStyle name="40% - 强调文字颜色 3 3 2" xfId="858"/>
    <cellStyle name="40% - 强调文字颜色 3 3 2 2" xfId="859"/>
    <cellStyle name="40% - 强调文字颜色 3 3 2 3" xfId="860"/>
    <cellStyle name="40% - 强调文字颜色 3 3 2 4" xfId="861"/>
    <cellStyle name="40% - 强调文字颜色 3 3 2 5" xfId="862"/>
    <cellStyle name="40% - 强调文字颜色 3 3 2 6" xfId="863"/>
    <cellStyle name="40% - 强调文字颜色 3 3 3" xfId="864"/>
    <cellStyle name="40% - 强调文字颜色 3 3 4" xfId="865"/>
    <cellStyle name="40% - 强调文字颜色 3 3 5" xfId="866"/>
    <cellStyle name="40% - 强调文字颜色 3 3 6" xfId="867"/>
    <cellStyle name="40% - 强调文字颜色 3 3 7" xfId="868"/>
    <cellStyle name="40% - 强调文字颜色 3 4" xfId="869"/>
    <cellStyle name="40% - 强调文字颜色 3 4 2" xfId="870"/>
    <cellStyle name="40% - 强调文字颜色 3 4 2 2" xfId="871"/>
    <cellStyle name="40% - 强调文字颜色 3 4 2 3" xfId="872"/>
    <cellStyle name="40% - 强调文字颜色 3 4 2 4" xfId="873"/>
    <cellStyle name="40% - 强调文字颜色 3 4 2 5" xfId="874"/>
    <cellStyle name="40% - 强调文字颜色 3 4 2 6" xfId="875"/>
    <cellStyle name="40% - 强调文字颜色 3 4 3" xfId="876"/>
    <cellStyle name="40% - 强调文字颜色 3 4 4" xfId="877"/>
    <cellStyle name="40% - 强调文字颜色 3 4 5" xfId="878"/>
    <cellStyle name="40% - 强调文字颜色 3 4 6" xfId="879"/>
    <cellStyle name="40% - 强调文字颜色 3 4 7" xfId="880"/>
    <cellStyle name="40% - 强调文字颜色 3 5" xfId="881"/>
    <cellStyle name="40% - 强调文字颜色 3 5 2" xfId="882"/>
    <cellStyle name="40% - 强调文字颜色 3 5 2 2" xfId="883"/>
    <cellStyle name="40% - 强调文字颜色 3 5 2 3" xfId="884"/>
    <cellStyle name="40% - 强调文字颜色 3 5 2 4" xfId="885"/>
    <cellStyle name="40% - 强调文字颜色 3 5 2 5" xfId="886"/>
    <cellStyle name="40% - 强调文字颜色 3 5 2 6" xfId="887"/>
    <cellStyle name="40% - 强调文字颜色 3 5 3" xfId="888"/>
    <cellStyle name="40% - 强调文字颜色 3 5 4" xfId="889"/>
    <cellStyle name="40% - 强调文字颜色 3 5 5" xfId="890"/>
    <cellStyle name="40% - 强调文字颜色 3 5 6" xfId="891"/>
    <cellStyle name="40% - 强调文字颜色 3 5 7" xfId="892"/>
    <cellStyle name="40% - 强调文字颜色 3 6" xfId="893"/>
    <cellStyle name="40% - 强调文字颜色 3 7" xfId="894"/>
    <cellStyle name="40% - 强调文字颜色 3 7 2" xfId="895"/>
    <cellStyle name="40% - 强调文字颜色 3 7 3" xfId="896"/>
    <cellStyle name="40% - 强调文字颜色 3 7 4" xfId="897"/>
    <cellStyle name="40% - 强调文字颜色 3 7 5" xfId="898"/>
    <cellStyle name="40% - 强调文字颜色 3 7 6" xfId="899"/>
    <cellStyle name="40% - 强调文字颜色 3 8" xfId="900"/>
    <cellStyle name="40% - 强调文字颜色 3 9" xfId="901"/>
    <cellStyle name="40% - 强调文字颜色 4 10" xfId="902"/>
    <cellStyle name="40% - 强调文字颜色 4 11" xfId="903"/>
    <cellStyle name="40% - 强调文字颜色 4 12" xfId="904"/>
    <cellStyle name="40% - 强调文字颜色 4 2" xfId="905"/>
    <cellStyle name="40% - 强调文字颜色 4 2 10" xfId="906"/>
    <cellStyle name="40% - 强调文字颜色 4 2 2" xfId="907"/>
    <cellStyle name="40% - 强调文字颜色 4 2 2 2" xfId="908"/>
    <cellStyle name="40% - 强调文字颜色 4 2 2 2 2" xfId="909"/>
    <cellStyle name="40% - 强调文字颜色 4 2 2 2 3" xfId="910"/>
    <cellStyle name="40% - 强调文字颜色 4 2 2 2 4" xfId="911"/>
    <cellStyle name="40% - 强调文字颜色 4 2 2 2 5" xfId="912"/>
    <cellStyle name="40% - 强调文字颜色 4 2 2 2 6" xfId="913"/>
    <cellStyle name="40% - 强调文字颜色 4 2 2 3" xfId="914"/>
    <cellStyle name="40% - 强调文字颜色 4 2 2 4" xfId="915"/>
    <cellStyle name="40% - 强调文字颜色 4 2 2 5" xfId="916"/>
    <cellStyle name="40% - 强调文字颜色 4 2 2 6" xfId="917"/>
    <cellStyle name="40% - 强调文字颜色 4 2 2 7" xfId="918"/>
    <cellStyle name="40% - 强调文字颜色 4 2 3" xfId="919"/>
    <cellStyle name="40% - 强调文字颜色 4 2 3 2" xfId="920"/>
    <cellStyle name="40% - 强调文字颜色 4 2 3 2 2" xfId="921"/>
    <cellStyle name="40% - 强调文字颜色 4 2 3 2 3" xfId="922"/>
    <cellStyle name="40% - 强调文字颜色 4 2 3 2 4" xfId="923"/>
    <cellStyle name="40% - 强调文字颜色 4 2 3 2 5" xfId="924"/>
    <cellStyle name="40% - 强调文字颜色 4 2 3 2 6" xfId="925"/>
    <cellStyle name="40% - 强调文字颜色 4 2 3 3" xfId="926"/>
    <cellStyle name="40% - 强调文字颜色 4 2 3 4" xfId="927"/>
    <cellStyle name="40% - 强调文字颜色 4 2 3 5" xfId="928"/>
    <cellStyle name="40% - 强调文字颜色 4 2 3 6" xfId="929"/>
    <cellStyle name="40% - 强调文字颜色 4 2 3 7" xfId="930"/>
    <cellStyle name="40% - 强调文字颜色 4 2 4" xfId="931"/>
    <cellStyle name="40% - 强调文字颜色 4 2 4 2" xfId="932"/>
    <cellStyle name="40% - 强调文字颜色 4 2 4 2 2" xfId="933"/>
    <cellStyle name="40% - 强调文字颜色 4 2 4 2 3" xfId="934"/>
    <cellStyle name="40% - 强调文字颜色 4 2 4 2 4" xfId="935"/>
    <cellStyle name="40% - 强调文字颜色 4 2 4 2 5" xfId="936"/>
    <cellStyle name="40% - 强调文字颜色 4 2 4 2 6" xfId="937"/>
    <cellStyle name="40% - 强调文字颜色 4 2 4 3" xfId="938"/>
    <cellStyle name="40% - 强调文字颜色 4 2 4 4" xfId="939"/>
    <cellStyle name="40% - 强调文字颜色 4 2 4 5" xfId="940"/>
    <cellStyle name="40% - 强调文字颜色 4 2 4 6" xfId="941"/>
    <cellStyle name="40% - 强调文字颜色 4 2 4 7" xfId="942"/>
    <cellStyle name="40% - 强调文字颜色 4 2 5" xfId="943"/>
    <cellStyle name="40% - 强调文字颜色 4 2 5 2" xfId="944"/>
    <cellStyle name="40% - 强调文字颜色 4 2 5 3" xfId="945"/>
    <cellStyle name="40% - 强调文字颜色 4 2 5 4" xfId="946"/>
    <cellStyle name="40% - 强调文字颜色 4 2 5 5" xfId="947"/>
    <cellStyle name="40% - 强调文字颜色 4 2 5 6" xfId="948"/>
    <cellStyle name="40% - 强调文字颜色 4 2 6" xfId="949"/>
    <cellStyle name="40% - 强调文字颜色 4 2 7" xfId="950"/>
    <cellStyle name="40% - 强调文字颜色 4 2 8" xfId="951"/>
    <cellStyle name="40% - 强调文字颜色 4 2 9" xfId="952"/>
    <cellStyle name="40% - 强调文字颜色 4 3" xfId="953"/>
    <cellStyle name="40% - 强调文字颜色 4 3 2" xfId="954"/>
    <cellStyle name="40% - 强调文字颜色 4 3 2 2" xfId="955"/>
    <cellStyle name="40% - 强调文字颜色 4 3 2 3" xfId="956"/>
    <cellStyle name="40% - 强调文字颜色 4 3 2 4" xfId="957"/>
    <cellStyle name="40% - 强调文字颜色 4 3 2 5" xfId="958"/>
    <cellStyle name="40% - 强调文字颜色 4 3 2 6" xfId="959"/>
    <cellStyle name="40% - 强调文字颜色 4 3 3" xfId="960"/>
    <cellStyle name="40% - 强调文字颜色 4 3 4" xfId="961"/>
    <cellStyle name="40% - 强调文字颜色 4 3 5" xfId="962"/>
    <cellStyle name="40% - 强调文字颜色 4 3 6" xfId="963"/>
    <cellStyle name="40% - 强调文字颜色 4 3 7" xfId="964"/>
    <cellStyle name="40% - 强调文字颜色 4 4" xfId="965"/>
    <cellStyle name="40% - 强调文字颜色 4 4 2" xfId="966"/>
    <cellStyle name="40% - 强调文字颜色 4 4 2 2" xfId="967"/>
    <cellStyle name="40% - 强调文字颜色 4 4 2 3" xfId="968"/>
    <cellStyle name="40% - 强调文字颜色 4 4 2 4" xfId="969"/>
    <cellStyle name="40% - 强调文字颜色 4 4 2 5" xfId="970"/>
    <cellStyle name="40% - 强调文字颜色 4 4 2 6" xfId="971"/>
    <cellStyle name="40% - 强调文字颜色 4 4 3" xfId="972"/>
    <cellStyle name="40% - 强调文字颜色 4 4 4" xfId="973"/>
    <cellStyle name="40% - 强调文字颜色 4 4 5" xfId="974"/>
    <cellStyle name="40% - 强调文字颜色 4 4 6" xfId="975"/>
    <cellStyle name="40% - 强调文字颜色 4 4 7" xfId="976"/>
    <cellStyle name="40% - 强调文字颜色 4 5" xfId="977"/>
    <cellStyle name="40% - 强调文字颜色 4 5 2" xfId="978"/>
    <cellStyle name="40% - 强调文字颜色 4 5 2 2" xfId="979"/>
    <cellStyle name="40% - 强调文字颜色 4 5 2 3" xfId="980"/>
    <cellStyle name="40% - 强调文字颜色 4 5 2 4" xfId="981"/>
    <cellStyle name="40% - 强调文字颜色 4 5 2 5" xfId="982"/>
    <cellStyle name="40% - 强调文字颜色 4 5 2 6" xfId="983"/>
    <cellStyle name="40% - 强调文字颜色 4 5 3" xfId="984"/>
    <cellStyle name="40% - 强调文字颜色 4 5 4" xfId="985"/>
    <cellStyle name="40% - 强调文字颜色 4 5 5" xfId="986"/>
    <cellStyle name="40% - 强调文字颜色 4 5 6" xfId="987"/>
    <cellStyle name="40% - 强调文字颜色 4 5 7" xfId="988"/>
    <cellStyle name="40% - 强调文字颜色 4 6" xfId="989"/>
    <cellStyle name="40% - 强调文字颜色 4 7" xfId="990"/>
    <cellStyle name="40% - 强调文字颜色 4 7 2" xfId="991"/>
    <cellStyle name="40% - 强调文字颜色 4 7 3" xfId="992"/>
    <cellStyle name="40% - 强调文字颜色 4 7 4" xfId="993"/>
    <cellStyle name="40% - 强调文字颜色 4 7 5" xfId="994"/>
    <cellStyle name="40% - 强调文字颜色 4 7 6" xfId="995"/>
    <cellStyle name="40% - 强调文字颜色 4 8" xfId="996"/>
    <cellStyle name="40% - 强调文字颜色 4 9" xfId="997"/>
    <cellStyle name="40% - 强调文字颜色 5 10" xfId="998"/>
    <cellStyle name="40% - 强调文字颜色 5 11" xfId="999"/>
    <cellStyle name="40% - 强调文字颜色 5 12" xfId="1000"/>
    <cellStyle name="40% - 强调文字颜色 5 2" xfId="1001"/>
    <cellStyle name="40% - 强调文字颜色 5 2 10" xfId="1002"/>
    <cellStyle name="40% - 强调文字颜色 5 2 2" xfId="1003"/>
    <cellStyle name="40% - 强调文字颜色 5 2 2 2" xfId="1004"/>
    <cellStyle name="40% - 强调文字颜色 5 2 2 2 2" xfId="1005"/>
    <cellStyle name="40% - 强调文字颜色 5 2 2 2 3" xfId="1006"/>
    <cellStyle name="40% - 强调文字颜色 5 2 2 2 4" xfId="1007"/>
    <cellStyle name="40% - 强调文字颜色 5 2 2 2 5" xfId="1008"/>
    <cellStyle name="40% - 强调文字颜色 5 2 2 2 6" xfId="1009"/>
    <cellStyle name="40% - 强调文字颜色 5 2 2 3" xfId="1010"/>
    <cellStyle name="40% - 强调文字颜色 5 2 2 4" xfId="1011"/>
    <cellStyle name="40% - 强调文字颜色 5 2 2 5" xfId="1012"/>
    <cellStyle name="40% - 强调文字颜色 5 2 2 6" xfId="1013"/>
    <cellStyle name="40% - 强调文字颜色 5 2 2 7" xfId="1014"/>
    <cellStyle name="40% - 强调文字颜色 5 2 3" xfId="1015"/>
    <cellStyle name="40% - 强调文字颜色 5 2 3 2" xfId="1016"/>
    <cellStyle name="40% - 强调文字颜色 5 2 3 2 2" xfId="1017"/>
    <cellStyle name="40% - 强调文字颜色 5 2 3 2 3" xfId="1018"/>
    <cellStyle name="40% - 强调文字颜色 5 2 3 2 4" xfId="1019"/>
    <cellStyle name="40% - 强调文字颜色 5 2 3 2 5" xfId="1020"/>
    <cellStyle name="40% - 强调文字颜色 5 2 3 2 6" xfId="1021"/>
    <cellStyle name="40% - 强调文字颜色 5 2 3 3" xfId="1022"/>
    <cellStyle name="40% - 强调文字颜色 5 2 3 4" xfId="1023"/>
    <cellStyle name="40% - 强调文字颜色 5 2 3 5" xfId="1024"/>
    <cellStyle name="40% - 强调文字颜色 5 2 3 6" xfId="1025"/>
    <cellStyle name="40% - 强调文字颜色 5 2 3 7" xfId="1026"/>
    <cellStyle name="40% - 强调文字颜色 5 2 4" xfId="1027"/>
    <cellStyle name="40% - 强调文字颜色 5 2 4 2" xfId="1028"/>
    <cellStyle name="40% - 强调文字颜色 5 2 4 2 2" xfId="1029"/>
    <cellStyle name="40% - 强调文字颜色 5 2 4 2 3" xfId="1030"/>
    <cellStyle name="40% - 强调文字颜色 5 2 4 2 4" xfId="1031"/>
    <cellStyle name="40% - 强调文字颜色 5 2 4 2 5" xfId="1032"/>
    <cellStyle name="40% - 强调文字颜色 5 2 4 2 6" xfId="1033"/>
    <cellStyle name="40% - 强调文字颜色 5 2 4 3" xfId="1034"/>
    <cellStyle name="40% - 强调文字颜色 5 2 4 4" xfId="1035"/>
    <cellStyle name="40% - 强调文字颜色 5 2 4 5" xfId="1036"/>
    <cellStyle name="40% - 强调文字颜色 5 2 4 6" xfId="1037"/>
    <cellStyle name="40% - 强调文字颜色 5 2 4 7" xfId="1038"/>
    <cellStyle name="40% - 强调文字颜色 5 2 5" xfId="1039"/>
    <cellStyle name="40% - 强调文字颜色 5 2 5 2" xfId="1040"/>
    <cellStyle name="40% - 强调文字颜色 5 2 5 3" xfId="1041"/>
    <cellStyle name="40% - 强调文字颜色 5 2 5 4" xfId="1042"/>
    <cellStyle name="40% - 强调文字颜色 5 2 5 5" xfId="1043"/>
    <cellStyle name="40% - 强调文字颜色 5 2 5 6" xfId="1044"/>
    <cellStyle name="40% - 强调文字颜色 5 2 6" xfId="1045"/>
    <cellStyle name="40% - 强调文字颜色 5 2 7" xfId="1046"/>
    <cellStyle name="40% - 强调文字颜色 5 2 8" xfId="1047"/>
    <cellStyle name="40% - 强调文字颜色 5 2 9" xfId="1048"/>
    <cellStyle name="40% - 强调文字颜色 5 3" xfId="1049"/>
    <cellStyle name="40% - 强调文字颜色 5 3 2" xfId="1050"/>
    <cellStyle name="40% - 强调文字颜色 5 3 2 2" xfId="1051"/>
    <cellStyle name="40% - 强调文字颜色 5 3 2 3" xfId="1052"/>
    <cellStyle name="40% - 强调文字颜色 5 3 2 4" xfId="1053"/>
    <cellStyle name="40% - 强调文字颜色 5 3 2 5" xfId="1054"/>
    <cellStyle name="40% - 强调文字颜色 5 3 2 6" xfId="1055"/>
    <cellStyle name="40% - 强调文字颜色 5 3 3" xfId="1056"/>
    <cellStyle name="40% - 强调文字颜色 5 3 4" xfId="1057"/>
    <cellStyle name="40% - 强调文字颜色 5 3 5" xfId="1058"/>
    <cellStyle name="40% - 强调文字颜色 5 3 6" xfId="1059"/>
    <cellStyle name="40% - 强调文字颜色 5 3 7" xfId="1060"/>
    <cellStyle name="40% - 强调文字颜色 5 4" xfId="1061"/>
    <cellStyle name="40% - 强调文字颜色 5 4 2" xfId="1062"/>
    <cellStyle name="40% - 强调文字颜色 5 4 2 2" xfId="1063"/>
    <cellStyle name="40% - 强调文字颜色 5 4 2 3" xfId="1064"/>
    <cellStyle name="40% - 强调文字颜色 5 4 2 4" xfId="1065"/>
    <cellStyle name="40% - 强调文字颜色 5 4 2 5" xfId="1066"/>
    <cellStyle name="40% - 强调文字颜色 5 4 2 6" xfId="1067"/>
    <cellStyle name="40% - 强调文字颜色 5 4 3" xfId="1068"/>
    <cellStyle name="40% - 强调文字颜色 5 4 4" xfId="1069"/>
    <cellStyle name="40% - 强调文字颜色 5 4 5" xfId="1070"/>
    <cellStyle name="40% - 强调文字颜色 5 4 6" xfId="1071"/>
    <cellStyle name="40% - 强调文字颜色 5 4 7" xfId="1072"/>
    <cellStyle name="40% - 强调文字颜色 5 5" xfId="1073"/>
    <cellStyle name="40% - 强调文字颜色 5 5 2" xfId="1074"/>
    <cellStyle name="40% - 强调文字颜色 5 5 2 2" xfId="1075"/>
    <cellStyle name="40% - 强调文字颜色 5 5 2 3" xfId="1076"/>
    <cellStyle name="40% - 强调文字颜色 5 5 2 4" xfId="1077"/>
    <cellStyle name="40% - 强调文字颜色 5 5 2 5" xfId="1078"/>
    <cellStyle name="40% - 强调文字颜色 5 5 2 6" xfId="1079"/>
    <cellStyle name="40% - 强调文字颜色 5 5 3" xfId="1080"/>
    <cellStyle name="40% - 强调文字颜色 5 5 4" xfId="1081"/>
    <cellStyle name="40% - 强调文字颜色 5 5 5" xfId="1082"/>
    <cellStyle name="40% - 强调文字颜色 5 5 6" xfId="1083"/>
    <cellStyle name="40% - 强调文字颜色 5 5 7" xfId="1084"/>
    <cellStyle name="40% - 强调文字颜色 5 6" xfId="1085"/>
    <cellStyle name="40% - 强调文字颜色 5 7" xfId="1086"/>
    <cellStyle name="40% - 强调文字颜色 5 7 2" xfId="1087"/>
    <cellStyle name="40% - 强调文字颜色 5 7 3" xfId="1088"/>
    <cellStyle name="40% - 强调文字颜色 5 7 4" xfId="1089"/>
    <cellStyle name="40% - 强调文字颜色 5 7 5" xfId="1090"/>
    <cellStyle name="40% - 强调文字颜色 5 7 6" xfId="1091"/>
    <cellStyle name="40% - 强调文字颜色 5 8" xfId="1092"/>
    <cellStyle name="40% - 强调文字颜色 5 9" xfId="1093"/>
    <cellStyle name="40% - 强调文字颜色 6 10" xfId="1094"/>
    <cellStyle name="40% - 强调文字颜色 6 11" xfId="1095"/>
    <cellStyle name="40% - 强调文字颜色 6 12" xfId="1096"/>
    <cellStyle name="40% - 强调文字颜色 6 2" xfId="1097"/>
    <cellStyle name="40% - 强调文字颜色 6 2 10" xfId="1098"/>
    <cellStyle name="40% - 强调文字颜色 6 2 2" xfId="1099"/>
    <cellStyle name="40% - 强调文字颜色 6 2 2 2" xfId="1100"/>
    <cellStyle name="40% - 强调文字颜色 6 2 2 2 2" xfId="1101"/>
    <cellStyle name="40% - 强调文字颜色 6 2 2 2 3" xfId="1102"/>
    <cellStyle name="40% - 强调文字颜色 6 2 2 2 4" xfId="1103"/>
    <cellStyle name="40% - 强调文字颜色 6 2 2 2 5" xfId="1104"/>
    <cellStyle name="40% - 强调文字颜色 6 2 2 2 6" xfId="1105"/>
    <cellStyle name="40% - 强调文字颜色 6 2 2 3" xfId="1106"/>
    <cellStyle name="40% - 强调文字颜色 6 2 2 4" xfId="1107"/>
    <cellStyle name="40% - 强调文字颜色 6 2 2 5" xfId="1108"/>
    <cellStyle name="40% - 强调文字颜色 6 2 2 6" xfId="1109"/>
    <cellStyle name="40% - 强调文字颜色 6 2 2 7" xfId="1110"/>
    <cellStyle name="40% - 强调文字颜色 6 2 3" xfId="1111"/>
    <cellStyle name="40% - 强调文字颜色 6 2 3 2" xfId="1112"/>
    <cellStyle name="40% - 强调文字颜色 6 2 3 2 2" xfId="1113"/>
    <cellStyle name="40% - 强调文字颜色 6 2 3 2 3" xfId="1114"/>
    <cellStyle name="40% - 强调文字颜色 6 2 3 2 4" xfId="1115"/>
    <cellStyle name="40% - 强调文字颜色 6 2 3 2 5" xfId="1116"/>
    <cellStyle name="40% - 强调文字颜色 6 2 3 2 6" xfId="1117"/>
    <cellStyle name="40% - 强调文字颜色 6 2 3 3" xfId="1118"/>
    <cellStyle name="40% - 强调文字颜色 6 2 3 4" xfId="1119"/>
    <cellStyle name="40% - 强调文字颜色 6 2 3 5" xfId="1120"/>
    <cellStyle name="40% - 强调文字颜色 6 2 3 6" xfId="1121"/>
    <cellStyle name="40% - 强调文字颜色 6 2 3 7" xfId="1122"/>
    <cellStyle name="40% - 强调文字颜色 6 2 4" xfId="1123"/>
    <cellStyle name="40% - 强调文字颜色 6 2 4 2" xfId="1124"/>
    <cellStyle name="40% - 强调文字颜色 6 2 4 2 2" xfId="1125"/>
    <cellStyle name="40% - 强调文字颜色 6 2 4 2 3" xfId="1126"/>
    <cellStyle name="40% - 强调文字颜色 6 2 4 2 4" xfId="1127"/>
    <cellStyle name="40% - 强调文字颜色 6 2 4 2 5" xfId="1128"/>
    <cellStyle name="40% - 强调文字颜色 6 2 4 2 6" xfId="1129"/>
    <cellStyle name="40% - 强调文字颜色 6 2 4 3" xfId="1130"/>
    <cellStyle name="40% - 强调文字颜色 6 2 4 4" xfId="1131"/>
    <cellStyle name="40% - 强调文字颜色 6 2 4 5" xfId="1132"/>
    <cellStyle name="40% - 强调文字颜色 6 2 4 6" xfId="1133"/>
    <cellStyle name="40% - 强调文字颜色 6 2 4 7" xfId="1134"/>
    <cellStyle name="40% - 强调文字颜色 6 2 5" xfId="1135"/>
    <cellStyle name="40% - 强调文字颜色 6 2 5 2" xfId="1136"/>
    <cellStyle name="40% - 强调文字颜色 6 2 5 3" xfId="1137"/>
    <cellStyle name="40% - 强调文字颜色 6 2 5 4" xfId="1138"/>
    <cellStyle name="40% - 强调文字颜色 6 2 5 5" xfId="1139"/>
    <cellStyle name="40% - 强调文字颜色 6 2 5 6" xfId="1140"/>
    <cellStyle name="40% - 强调文字颜色 6 2 6" xfId="1141"/>
    <cellStyle name="40% - 强调文字颜色 6 2 7" xfId="1142"/>
    <cellStyle name="40% - 强调文字颜色 6 2 8" xfId="1143"/>
    <cellStyle name="40% - 强调文字颜色 6 2 9" xfId="1144"/>
    <cellStyle name="40% - 强调文字颜色 6 3" xfId="1145"/>
    <cellStyle name="40% - 强调文字颜色 6 3 2" xfId="1146"/>
    <cellStyle name="40% - 强调文字颜色 6 3 2 2" xfId="1147"/>
    <cellStyle name="40% - 强调文字颜色 6 3 2 3" xfId="1148"/>
    <cellStyle name="40% - 强调文字颜色 6 3 2 4" xfId="1149"/>
    <cellStyle name="40% - 强调文字颜色 6 3 2 5" xfId="1150"/>
    <cellStyle name="40% - 强调文字颜色 6 3 2 6" xfId="1151"/>
    <cellStyle name="40% - 强调文字颜色 6 3 3" xfId="1152"/>
    <cellStyle name="40% - 强调文字颜色 6 3 4" xfId="1153"/>
    <cellStyle name="40% - 强调文字颜色 6 3 5" xfId="1154"/>
    <cellStyle name="40% - 强调文字颜色 6 3 6" xfId="1155"/>
    <cellStyle name="40% - 强调文字颜色 6 3 7" xfId="1156"/>
    <cellStyle name="40% - 强调文字颜色 6 4" xfId="1157"/>
    <cellStyle name="40% - 强调文字颜色 6 4 2" xfId="1158"/>
    <cellStyle name="40% - 强调文字颜色 6 4 2 2" xfId="1159"/>
    <cellStyle name="40% - 强调文字颜色 6 4 2 3" xfId="1160"/>
    <cellStyle name="40% - 强调文字颜色 6 4 2 4" xfId="1161"/>
    <cellStyle name="40% - 强调文字颜色 6 4 2 5" xfId="1162"/>
    <cellStyle name="40% - 强调文字颜色 6 4 2 6" xfId="1163"/>
    <cellStyle name="40% - 强调文字颜色 6 4 3" xfId="1164"/>
    <cellStyle name="40% - 强调文字颜色 6 4 4" xfId="1165"/>
    <cellStyle name="40% - 强调文字颜色 6 4 5" xfId="1166"/>
    <cellStyle name="40% - 强调文字颜色 6 4 6" xfId="1167"/>
    <cellStyle name="40% - 强调文字颜色 6 4 7" xfId="1168"/>
    <cellStyle name="40% - 强调文字颜色 6 5" xfId="1169"/>
    <cellStyle name="40% - 强调文字颜色 6 5 2" xfId="1170"/>
    <cellStyle name="40% - 强调文字颜色 6 5 2 2" xfId="1171"/>
    <cellStyle name="40% - 强调文字颜色 6 5 2 3" xfId="1172"/>
    <cellStyle name="40% - 强调文字颜色 6 5 2 4" xfId="1173"/>
    <cellStyle name="40% - 强调文字颜色 6 5 2 5" xfId="1174"/>
    <cellStyle name="40% - 强调文字颜色 6 5 2 6" xfId="1175"/>
    <cellStyle name="40% - 强调文字颜色 6 5 3" xfId="1176"/>
    <cellStyle name="40% - 强调文字颜色 6 5 4" xfId="1177"/>
    <cellStyle name="40% - 强调文字颜色 6 5 5" xfId="1178"/>
    <cellStyle name="40% - 强调文字颜色 6 5 6" xfId="1179"/>
    <cellStyle name="40% - 强调文字颜色 6 5 7" xfId="1180"/>
    <cellStyle name="40% - 强调文字颜色 6 6" xfId="1181"/>
    <cellStyle name="40% - 强调文字颜色 6 7" xfId="1182"/>
    <cellStyle name="40% - 强调文字颜色 6 7 2" xfId="1183"/>
    <cellStyle name="40% - 强调文字颜色 6 7 3" xfId="1184"/>
    <cellStyle name="40% - 强调文字颜色 6 7 4" xfId="1185"/>
    <cellStyle name="40% - 强调文字颜色 6 7 5" xfId="1186"/>
    <cellStyle name="40% - 强调文字颜色 6 7 6" xfId="1187"/>
    <cellStyle name="40% - 强调文字颜色 6 8" xfId="1188"/>
    <cellStyle name="40% - 强调文字颜色 6 9" xfId="1189"/>
    <cellStyle name="40% - 着色 1 4" xfId="1190"/>
    <cellStyle name="40% - 着色 1 2" xfId="1191"/>
    <cellStyle name="40% - 着色 1 3" xfId="1192"/>
    <cellStyle name="40% - 着色 2 4" xfId="1193"/>
    <cellStyle name="40% - 着色 2 2" xfId="1194"/>
    <cellStyle name="40% - 着色 2 3" xfId="1195"/>
    <cellStyle name="40% - 着色 3 4" xfId="1196"/>
    <cellStyle name="40% - 着色 3 2" xfId="1197"/>
    <cellStyle name="40% - 着色 3 3" xfId="1198"/>
    <cellStyle name="40% - 着色 4 4" xfId="1199"/>
    <cellStyle name="40% - 着色 4 2" xfId="1200"/>
    <cellStyle name="40% - 着色 4 3" xfId="1201"/>
    <cellStyle name="40% - 着色 5 4" xfId="1202"/>
    <cellStyle name="40% - 着色 5 2" xfId="1203"/>
    <cellStyle name="40% - 着色 5 3" xfId="1204"/>
    <cellStyle name="40% - 着色 6 4" xfId="1205"/>
    <cellStyle name="40% - 着色 6 2" xfId="1206"/>
    <cellStyle name="40% - 着色 6 3" xfId="1207"/>
    <cellStyle name="60% - 强调文字颜色 1 2" xfId="1208"/>
    <cellStyle name="60% - 强调文字颜色 2 2" xfId="1209"/>
    <cellStyle name="60% - 强调文字颜色 3 2" xfId="1210"/>
    <cellStyle name="60% - 强调文字颜色 4 2" xfId="1211"/>
    <cellStyle name="60% - 强调文字颜色 5 2" xfId="1212"/>
    <cellStyle name="60% - 强调文字颜色 6 2" xfId="1213"/>
    <cellStyle name="60% - 着色 1 4" xfId="1214"/>
    <cellStyle name="60% - 着色 1 2" xfId="1215"/>
    <cellStyle name="60% - 着色 1 3" xfId="1216"/>
    <cellStyle name="60% - 着色 2 4" xfId="1217"/>
    <cellStyle name="60% - 着色 2 2" xfId="1218"/>
    <cellStyle name="60% - 着色 2 3" xfId="1219"/>
    <cellStyle name="60% - 着色 3 4" xfId="1220"/>
    <cellStyle name="60% - 着色 3 2" xfId="1221"/>
    <cellStyle name="60% - 着色 3 3" xfId="1222"/>
    <cellStyle name="60% - 着色 4 4" xfId="1223"/>
    <cellStyle name="60% - 着色 4 2" xfId="1224"/>
    <cellStyle name="60% - 着色 4 3" xfId="1225"/>
    <cellStyle name="60% - 着色 5 4" xfId="1226"/>
    <cellStyle name="60% - 着色 5 2" xfId="1227"/>
    <cellStyle name="60% - 着色 5 3" xfId="1228"/>
    <cellStyle name="60% - 着色 6 4" xfId="1229"/>
    <cellStyle name="60% - 着色 6 2" xfId="1230"/>
    <cellStyle name="60% - 着色 6 3" xfId="1231"/>
    <cellStyle name="Check value" xfId="1232"/>
    <cellStyle name="Currency_Sheet1" xfId="1233"/>
    <cellStyle name="gcd" xfId="1234"/>
    <cellStyle name="gcd 2" xfId="1235"/>
    <cellStyle name="gcd 2 2" xfId="1236"/>
    <cellStyle name="Normal" xfId="1237"/>
    <cellStyle name="Normal 2" xfId="1238"/>
    <cellStyle name="Normal 2 10" xfId="1239"/>
    <cellStyle name="Normal 2 11" xfId="1240"/>
    <cellStyle name="Normal 2 12" xfId="1241"/>
    <cellStyle name="Normal 2 13" xfId="1242"/>
    <cellStyle name="Normal 2 14" xfId="1243"/>
    <cellStyle name="Normal 2 2" xfId="1244"/>
    <cellStyle name="Normal 2 2 10" xfId="1245"/>
    <cellStyle name="Normal 2 2 2" xfId="1246"/>
    <cellStyle name="Normal 2 2 2 2" xfId="1247"/>
    <cellStyle name="Normal 2 2 2 2 2" xfId="1248"/>
    <cellStyle name="Normal 2 2 2 2 2 2" xfId="1249"/>
    <cellStyle name="Normal 2 2 2 2 2 2 2" xfId="1250"/>
    <cellStyle name="Normal 2 2 2 2 2 3" xfId="1251"/>
    <cellStyle name="Normal 2 2 2 2 2 4" xfId="1252"/>
    <cellStyle name="Normal 2 2 2 2 3" xfId="1253"/>
    <cellStyle name="Normal 2 2 2 2 3 2" xfId="1254"/>
    <cellStyle name="Normal 2 2 2 2 4" xfId="1255"/>
    <cellStyle name="Normal 2 2 2 2 5" xfId="1256"/>
    <cellStyle name="Normal 2 2 2 2 6" xfId="1257"/>
    <cellStyle name="Normal 2 2 2 3" xfId="1258"/>
    <cellStyle name="Normal 2 2 2 3 2" xfId="1259"/>
    <cellStyle name="Normal 2 2 2 3 2 2" xfId="1260"/>
    <cellStyle name="Normal 2 2 2 3 3" xfId="1261"/>
    <cellStyle name="Normal 2 2 2 3 4" xfId="1262"/>
    <cellStyle name="Normal 2 2 2 3 5" xfId="1263"/>
    <cellStyle name="Normal 2 2 2 4" xfId="1264"/>
    <cellStyle name="Normal 2 2 2 4 2" xfId="1265"/>
    <cellStyle name="Normal 2 2 2 4 3" xfId="1266"/>
    <cellStyle name="Normal 2 2 2 5" xfId="1267"/>
    <cellStyle name="Normal 2 2 2 6" xfId="1268"/>
    <cellStyle name="Normal 2 2 2 7" xfId="1269"/>
    <cellStyle name="Normal 2 2 3" xfId="1270"/>
    <cellStyle name="Normal 2 2 3 2" xfId="1271"/>
    <cellStyle name="Normal 2 2 3 2 2" xfId="1272"/>
    <cellStyle name="Normal 2 2 3 2 2 2" xfId="1273"/>
    <cellStyle name="Normal 2 2 3 2 3" xfId="1274"/>
    <cellStyle name="Normal 2 2 3 2 4" xfId="1275"/>
    <cellStyle name="Normal 2 2 3 3" xfId="1276"/>
    <cellStyle name="Normal 2 2 3 3 2" xfId="1277"/>
    <cellStyle name="Normal 2 2 3 3 2 2" xfId="1278"/>
    <cellStyle name="Normal 2 2 3 3 3" xfId="1279"/>
    <cellStyle name="Normal 2 2 3 3 4" xfId="1280"/>
    <cellStyle name="Normal 2 2 3 4" xfId="1281"/>
    <cellStyle name="Normal 2 2 3 4 2" xfId="1282"/>
    <cellStyle name="Normal 2 2 3 5" xfId="1283"/>
    <cellStyle name="Normal 2 2 3 6" xfId="1284"/>
    <cellStyle name="Normal 2 2 3 7" xfId="1285"/>
    <cellStyle name="Normal 2 2 4" xfId="1286"/>
    <cellStyle name="Normal 2 2 4 2" xfId="1287"/>
    <cellStyle name="Normal 2 2 4 2 2" xfId="1288"/>
    <cellStyle name="Normal 2 2 4 3" xfId="1289"/>
    <cellStyle name="Normal 2 2 4 4" xfId="1290"/>
    <cellStyle name="Normal 2 2 5" xfId="1291"/>
    <cellStyle name="Normal 2 2 5 2" xfId="1292"/>
    <cellStyle name="Normal 2 2 5 2 2" xfId="1293"/>
    <cellStyle name="Normal 2 2 5 3" xfId="1294"/>
    <cellStyle name="Normal 2 2 5 4" xfId="1295"/>
    <cellStyle name="Normal 2 2 6" xfId="1296"/>
    <cellStyle name="Normal 2 2 6 2" xfId="1297"/>
    <cellStyle name="Normal 2 2 7" xfId="1298"/>
    <cellStyle name="Normal 2 2 8" xfId="1299"/>
    <cellStyle name="Normal 2 2 9" xfId="1300"/>
    <cellStyle name="Normal 2 3" xfId="1301"/>
    <cellStyle name="Normal 2 3 10" xfId="1302"/>
    <cellStyle name="Normal 2 3 2" xfId="1303"/>
    <cellStyle name="Normal 2 3 2 2" xfId="1304"/>
    <cellStyle name="Normal 2 3 2 2 2" xfId="1305"/>
    <cellStyle name="Normal 2 3 2 2 2 2" xfId="1306"/>
    <cellStyle name="Normal 2 3 2 2 2 2 2" xfId="1307"/>
    <cellStyle name="Normal 2 3 2 2 2 3" xfId="1308"/>
    <cellStyle name="Normal 2 3 2 2 2 4" xfId="1309"/>
    <cellStyle name="Normal 2 3 2 2 3" xfId="1310"/>
    <cellStyle name="Normal 2 3 2 2 3 2" xfId="1311"/>
    <cellStyle name="Normal 2 3 2 2 4" xfId="1312"/>
    <cellStyle name="Normal 2 3 2 2 5" xfId="1313"/>
    <cellStyle name="Normal 2 3 2 3" xfId="1314"/>
    <cellStyle name="Normal 2 3 2 3 2" xfId="1315"/>
    <cellStyle name="Normal 2 3 2 3 2 2" xfId="1316"/>
    <cellStyle name="Normal 2 3 2 3 3" xfId="1317"/>
    <cellStyle name="Normal 2 3 2 3 4" xfId="1318"/>
    <cellStyle name="Normal 2 3 2 4" xfId="1319"/>
    <cellStyle name="Normal 2 3 2 4 2" xfId="1320"/>
    <cellStyle name="Normal 2 3 2 5" xfId="1321"/>
    <cellStyle name="Normal 2 3 2 6" xfId="1322"/>
    <cellStyle name="Normal 2 3 3" xfId="1323"/>
    <cellStyle name="Normal 2 3 3 2" xfId="1324"/>
    <cellStyle name="Normal 2 3 3 2 2" xfId="1325"/>
    <cellStyle name="Normal 2 3 3 2 2 2" xfId="1326"/>
    <cellStyle name="Normal 2 3 3 2 3" xfId="1327"/>
    <cellStyle name="Normal 2 3 3 2 4" xfId="1328"/>
    <cellStyle name="Normal 2 3 3 3" xfId="1329"/>
    <cellStyle name="Normal 2 3 3 3 2" xfId="1330"/>
    <cellStyle name="Normal 2 3 3 3 2 2" xfId="1331"/>
    <cellStyle name="Normal 2 3 3 3 3" xfId="1332"/>
    <cellStyle name="Normal 2 3 3 3 4" xfId="1333"/>
    <cellStyle name="Normal 2 3 3 4" xfId="1334"/>
    <cellStyle name="Normal 2 3 3 4 2" xfId="1335"/>
    <cellStyle name="Normal 2 3 3 5" xfId="1336"/>
    <cellStyle name="Normal 2 3 3 6" xfId="1337"/>
    <cellStyle name="Normal 2 3 4" xfId="1338"/>
    <cellStyle name="Normal 2 3 4 2" xfId="1339"/>
    <cellStyle name="Normal 2 3 4 2 2" xfId="1340"/>
    <cellStyle name="Normal 2 3 4 3" xfId="1341"/>
    <cellStyle name="Normal 2 3 4 4" xfId="1342"/>
    <cellStyle name="Normal 2 3 5" xfId="1343"/>
    <cellStyle name="Normal 2 3 5 2" xfId="1344"/>
    <cellStyle name="Normal 2 3 5 2 2" xfId="1345"/>
    <cellStyle name="Normal 2 3 5 3" xfId="1346"/>
    <cellStyle name="Normal 2 3 5 4" xfId="1347"/>
    <cellStyle name="Normal 2 3 6" xfId="1348"/>
    <cellStyle name="Normal 2 3 6 2" xfId="1349"/>
    <cellStyle name="Normal 2 3 7" xfId="1350"/>
    <cellStyle name="Normal 2 3 8" xfId="1351"/>
    <cellStyle name="Normal 2 3 9" xfId="1352"/>
    <cellStyle name="Normal 2 4" xfId="1353"/>
    <cellStyle name="Normal 2 4 2" xfId="1354"/>
    <cellStyle name="Normal 2 4 2 2" xfId="1355"/>
    <cellStyle name="Normal 2 4 2 2 2" xfId="1356"/>
    <cellStyle name="Normal 2 4 2 2 2 2" xfId="1357"/>
    <cellStyle name="Normal 2 4 2 2 2 2 2" xfId="1358"/>
    <cellStyle name="Normal 2 4 2 2 2 3" xfId="1359"/>
    <cellStyle name="Normal 2 4 2 2 2 4" xfId="1360"/>
    <cellStyle name="Normal 2 4 2 2 3" xfId="1361"/>
    <cellStyle name="Normal 2 4 2 2 3 2" xfId="1362"/>
    <cellStyle name="Normal 2 4 2 2 4" xfId="1363"/>
    <cellStyle name="Normal 2 4 2 2 5" xfId="1364"/>
    <cellStyle name="Normal 2 4 2 3" xfId="1365"/>
    <cellStyle name="Normal 2 4 2 3 2" xfId="1366"/>
    <cellStyle name="Normal 2 4 2 3 2 2" xfId="1367"/>
    <cellStyle name="Normal 2 4 2 3 3" xfId="1368"/>
    <cellStyle name="Normal 2 4 2 3 4" xfId="1369"/>
    <cellStyle name="Normal 2 4 2 4" xfId="1370"/>
    <cellStyle name="Normal 2 4 2 4 2" xfId="1371"/>
    <cellStyle name="Normal 2 4 2 5" xfId="1372"/>
    <cellStyle name="Normal 2 4 2 6" xfId="1373"/>
    <cellStyle name="Normal 2 4 3" xfId="1374"/>
    <cellStyle name="Normal 2 4 3 2" xfId="1375"/>
    <cellStyle name="Normal 2 4 3 2 2" xfId="1376"/>
    <cellStyle name="Normal 2 4 3 2 2 2" xfId="1377"/>
    <cellStyle name="Normal 2 4 3 2 3" xfId="1378"/>
    <cellStyle name="Normal 2 4 3 2 4" xfId="1379"/>
    <cellStyle name="Normal 2 4 3 3" xfId="1380"/>
    <cellStyle name="Normal 2 4 3 3 2" xfId="1381"/>
    <cellStyle name="Normal 2 4 3 3 2 2" xfId="1382"/>
    <cellStyle name="Normal 2 4 3 3 3" xfId="1383"/>
    <cellStyle name="Normal 2 4 3 3 4" xfId="1384"/>
    <cellStyle name="Normal 2 4 3 4" xfId="1385"/>
    <cellStyle name="Normal 2 4 3 4 2" xfId="1386"/>
    <cellStyle name="Normal 2 4 3 5" xfId="1387"/>
    <cellStyle name="Normal 2 4 3 6" xfId="1388"/>
    <cellStyle name="Normal 2 4 4" xfId="1389"/>
    <cellStyle name="Normal 2 4 4 2" xfId="1390"/>
    <cellStyle name="Normal 2 4 4 2 2" xfId="1391"/>
    <cellStyle name="Normal 2 4 4 3" xfId="1392"/>
    <cellStyle name="Normal 2 4 4 4" xfId="1393"/>
    <cellStyle name="Normal 2 4 5" xfId="1394"/>
    <cellStyle name="Normal 2 4 5 2" xfId="1395"/>
    <cellStyle name="Normal 2 4 5 2 2" xfId="1396"/>
    <cellStyle name="Normal 2 4 5 3" xfId="1397"/>
    <cellStyle name="Normal 2 4 5 4" xfId="1398"/>
    <cellStyle name="Normal 2 4 6" xfId="1399"/>
    <cellStyle name="Normal 2 4 6 2" xfId="1400"/>
    <cellStyle name="Normal 2 4 7" xfId="1401"/>
    <cellStyle name="Normal 2 4 8" xfId="1402"/>
    <cellStyle name="Normal 2 4 9" xfId="1403"/>
    <cellStyle name="Normal 2 5" xfId="1404"/>
    <cellStyle name="Normal 2 5 2" xfId="1405"/>
    <cellStyle name="Normal 2 5 2 2" xfId="1406"/>
    <cellStyle name="Normal 2 5 2 2 2" xfId="1407"/>
    <cellStyle name="Normal 2 5 2 2 2 2" xfId="1408"/>
    <cellStyle name="Normal 2 5 2 2 3" xfId="1409"/>
    <cellStyle name="Normal 2 5 2 2 4" xfId="1410"/>
    <cellStyle name="Normal 2 5 2 3" xfId="1411"/>
    <cellStyle name="Normal 2 5 2 3 2" xfId="1412"/>
    <cellStyle name="Normal 2 5 2 4" xfId="1413"/>
    <cellStyle name="Normal 2 5 2 5" xfId="1414"/>
    <cellStyle name="Normal 2 5 3" xfId="1415"/>
    <cellStyle name="Normal 2 5 3 2" xfId="1416"/>
    <cellStyle name="Normal 2 5 3 2 2" xfId="1417"/>
    <cellStyle name="Normal 2 5 3 3" xfId="1418"/>
    <cellStyle name="Normal 2 5 3 4" xfId="1419"/>
    <cellStyle name="Normal 2 5 4" xfId="1420"/>
    <cellStyle name="Normal 2 5 4 2" xfId="1421"/>
    <cellStyle name="Normal 2 5 5" xfId="1422"/>
    <cellStyle name="Normal 2 5 6" xfId="1423"/>
    <cellStyle name="Normal 2 6" xfId="1424"/>
    <cellStyle name="Normal 2 6 2" xfId="1425"/>
    <cellStyle name="Normal 2 6 2 2" xfId="1426"/>
    <cellStyle name="Normal 2 6 2 2 2" xfId="1427"/>
    <cellStyle name="Normal 2 6 2 3" xfId="1428"/>
    <cellStyle name="Normal 2 6 2 4" xfId="1429"/>
    <cellStyle name="Normal 2 6 3" xfId="1430"/>
    <cellStyle name="Normal 2 6 3 2" xfId="1431"/>
    <cellStyle name="Normal 2 6 3 2 2" xfId="1432"/>
    <cellStyle name="Normal 2 6 3 3" xfId="1433"/>
    <cellStyle name="Normal 2 6 3 4" xfId="1434"/>
    <cellStyle name="Normal 2 6 4" xfId="1435"/>
    <cellStyle name="Normal 2 6 4 2" xfId="1436"/>
    <cellStyle name="Normal 2 6 5" xfId="1437"/>
    <cellStyle name="Normal 2 6 6" xfId="1438"/>
    <cellStyle name="Normal 2 7" xfId="1439"/>
    <cellStyle name="Normal 2 7 10" xfId="1440"/>
    <cellStyle name="Normal 2 7 11" xfId="1441"/>
    <cellStyle name="Normal 2 7 12" xfId="1442"/>
    <cellStyle name="Normal 2 7 13" xfId="1443"/>
    <cellStyle name="Normal 2 7 14" xfId="1444"/>
    <cellStyle name="Normal 2 7 2" xfId="1445"/>
    <cellStyle name="Normal 2 7 2 10" xfId="1446"/>
    <cellStyle name="Normal 2 7 2 11" xfId="1447"/>
    <cellStyle name="Normal 2 7 2 12" xfId="1448"/>
    <cellStyle name="Normal 2 7 2 13" xfId="1449"/>
    <cellStyle name="Normal 2 7 2 2" xfId="1450"/>
    <cellStyle name="Normal 2 7 2 2 10" xfId="1451"/>
    <cellStyle name="Normal 2 7 2 2 2" xfId="1452"/>
    <cellStyle name="Normal 2 7 2 2 2 2" xfId="1453"/>
    <cellStyle name="Normal 2 7 2 2 2 2 2" xfId="1454"/>
    <cellStyle name="Normal 2 7 2 2 2 2 2 2" xfId="1455"/>
    <cellStyle name="Normal 2 7 2 2 2 2 2 3" xfId="1456"/>
    <cellStyle name="Normal 2 7 2 2 2 2 2 4" xfId="1457"/>
    <cellStyle name="Normal 2 7 2 2 2 2 2 5" xfId="1458"/>
    <cellStyle name="Normal 2 7 2 2 2 2 2 6" xfId="1459"/>
    <cellStyle name="Normal 2 7 2 2 2 2 3" xfId="1460"/>
    <cellStyle name="Normal 2 7 2 2 2 2 4" xfId="1461"/>
    <cellStyle name="Normal 2 7 2 2 2 2 5" xfId="1462"/>
    <cellStyle name="Normal 2 7 2 2 2 2 6" xfId="1463"/>
    <cellStyle name="Normal 2 7 2 2 2 2 7" xfId="1464"/>
    <cellStyle name="Normal 2 7 2 2 2 3" xfId="1465"/>
    <cellStyle name="Normal 2 7 2 2 2 3 2" xfId="1466"/>
    <cellStyle name="Normal 2 7 2 2 2 3 3" xfId="1467"/>
    <cellStyle name="Normal 2 7 2 2 2 3 4" xfId="1468"/>
    <cellStyle name="Normal 2 7 2 2 2 3 5" xfId="1469"/>
    <cellStyle name="Normal 2 7 2 2 2 3 6" xfId="1470"/>
    <cellStyle name="Normal 2 7 2 2 2 4" xfId="1471"/>
    <cellStyle name="Normal 2 7 2 2 2 5" xfId="1472"/>
    <cellStyle name="Normal 2 7 2 2 2 6" xfId="1473"/>
    <cellStyle name="Normal 2 7 2 2 2 7" xfId="1474"/>
    <cellStyle name="Normal 2 7 2 2 2 8" xfId="1475"/>
    <cellStyle name="Normal 2 7 2 2 3" xfId="1476"/>
    <cellStyle name="Normal 2 7 2 2 3 2" xfId="1477"/>
    <cellStyle name="Normal 2 7 2 2 3 2 2" xfId="1478"/>
    <cellStyle name="Normal 2 7 2 2 3 2 2 2" xfId="1479"/>
    <cellStyle name="Normal 2 7 2 2 3 2 2 3" xfId="1480"/>
    <cellStyle name="Normal 2 7 2 2 3 2 2 4" xfId="1481"/>
    <cellStyle name="Normal 2 7 2 2 3 2 2 5" xfId="1482"/>
    <cellStyle name="Normal 2 7 2 2 3 2 2 6" xfId="1483"/>
    <cellStyle name="Normal 2 7 2 2 3 2 3" xfId="1484"/>
    <cellStyle name="Normal 2 7 2 2 3 2 4" xfId="1485"/>
    <cellStyle name="Normal 2 7 2 2 3 2 5" xfId="1486"/>
    <cellStyle name="Normal 2 7 2 2 3 2 6" xfId="1487"/>
    <cellStyle name="Normal 2 7 2 2 3 2 7" xfId="1488"/>
    <cellStyle name="Normal 2 7 2 2 3 3" xfId="1489"/>
    <cellStyle name="Normal 2 7 2 2 3 3 2" xfId="1490"/>
    <cellStyle name="Normal 2 7 2 2 3 3 3" xfId="1491"/>
    <cellStyle name="Normal 2 7 2 2 3 3 4" xfId="1492"/>
    <cellStyle name="Normal 2 7 2 2 3 3 5" xfId="1493"/>
    <cellStyle name="Normal 2 7 2 2 3 3 6" xfId="1494"/>
    <cellStyle name="Normal 2 7 2 2 3 4" xfId="1495"/>
    <cellStyle name="Normal 2 7 2 2 3 5" xfId="1496"/>
    <cellStyle name="Normal 2 7 2 2 3 6" xfId="1497"/>
    <cellStyle name="Normal 2 7 2 2 3 7" xfId="1498"/>
    <cellStyle name="Normal 2 7 2 2 3 8" xfId="1499"/>
    <cellStyle name="Normal 2 7 2 2 4" xfId="1500"/>
    <cellStyle name="Normal 2 7 2 2 4 2" xfId="1501"/>
    <cellStyle name="Normal 2 7 2 2 4 2 2" xfId="1502"/>
    <cellStyle name="Normal 2 7 2 2 4 2 3" xfId="1503"/>
    <cellStyle name="Normal 2 7 2 2 4 2 4" xfId="1504"/>
    <cellStyle name="Normal 2 7 2 2 4 2 5" xfId="1505"/>
    <cellStyle name="Normal 2 7 2 2 4 2 6" xfId="1506"/>
    <cellStyle name="Normal 2 7 2 2 4 3" xfId="1507"/>
    <cellStyle name="Normal 2 7 2 2 4 4" xfId="1508"/>
    <cellStyle name="Normal 2 7 2 2 4 5" xfId="1509"/>
    <cellStyle name="Normal 2 7 2 2 4 6" xfId="1510"/>
    <cellStyle name="Normal 2 7 2 2 4 7" xfId="1511"/>
    <cellStyle name="Normal 2 7 2 2 5" xfId="1512"/>
    <cellStyle name="Normal 2 7 2 2 5 2" xfId="1513"/>
    <cellStyle name="Normal 2 7 2 2 5 3" xfId="1514"/>
    <cellStyle name="Normal 2 7 2 2 5 4" xfId="1515"/>
    <cellStyle name="Normal 2 7 2 2 5 5" xfId="1516"/>
    <cellStyle name="Normal 2 7 2 2 5 6" xfId="1517"/>
    <cellStyle name="Normal 2 7 2 2 6" xfId="1518"/>
    <cellStyle name="Normal 2 7 2 2 7" xfId="1519"/>
    <cellStyle name="Normal 2 7 2 2 8" xfId="1520"/>
    <cellStyle name="Normal 2 7 2 2 9" xfId="1521"/>
    <cellStyle name="Normal 2 7 2 3" xfId="1522"/>
    <cellStyle name="Normal 2 7 2 3 2" xfId="1523"/>
    <cellStyle name="Normal 2 7 2 3 2 2" xfId="1524"/>
    <cellStyle name="Normal 2 7 2 3 2 2 2" xfId="1525"/>
    <cellStyle name="Normal 2 7 2 3 2 2 3" xfId="1526"/>
    <cellStyle name="Normal 2 7 2 3 2 2 4" xfId="1527"/>
    <cellStyle name="Normal 2 7 2 3 2 2 5" xfId="1528"/>
    <cellStyle name="Normal 2 7 2 3 2 2 6" xfId="1529"/>
    <cellStyle name="Normal 2 7 2 3 2 3" xfId="1530"/>
    <cellStyle name="Normal 2 7 2 3 2 4" xfId="1531"/>
    <cellStyle name="Normal 2 7 2 3 2 5" xfId="1532"/>
    <cellStyle name="Normal 2 7 2 3 2 6" xfId="1533"/>
    <cellStyle name="Normal 2 7 2 3 2 7" xfId="1534"/>
    <cellStyle name="Normal 2 7 2 3 3" xfId="1535"/>
    <cellStyle name="Normal 2 7 2 3 3 2" xfId="1536"/>
    <cellStyle name="Normal 2 7 2 3 3 3" xfId="1537"/>
    <cellStyle name="Normal 2 7 2 3 3 4" xfId="1538"/>
    <cellStyle name="Normal 2 7 2 3 3 5" xfId="1539"/>
    <cellStyle name="Normal 2 7 2 3 3 6" xfId="1540"/>
    <cellStyle name="Normal 2 7 2 3 4" xfId="1541"/>
    <cellStyle name="Normal 2 7 2 3 5" xfId="1542"/>
    <cellStyle name="Normal 2 7 2 3 6" xfId="1543"/>
    <cellStyle name="Normal 2 7 2 3 7" xfId="1544"/>
    <cellStyle name="Normal 2 7 2 3 8" xfId="1545"/>
    <cellStyle name="Normal 2 7 2 4" xfId="1546"/>
    <cellStyle name="Normal 2 7 2 4 2" xfId="1547"/>
    <cellStyle name="Normal 2 7 2 4 2 2" xfId="1548"/>
    <cellStyle name="Normal 2 7 2 4 2 2 2" xfId="1549"/>
    <cellStyle name="Normal 2 7 2 4 2 2 3" xfId="1550"/>
    <cellStyle name="Normal 2 7 2 4 2 2 4" xfId="1551"/>
    <cellStyle name="Normal 2 7 2 4 2 2 5" xfId="1552"/>
    <cellStyle name="Normal 2 7 2 4 2 2 6" xfId="1553"/>
    <cellStyle name="Normal 2 7 2 4 2 3" xfId="1554"/>
    <cellStyle name="Normal 2 7 2 4 2 4" xfId="1555"/>
    <cellStyle name="Normal 2 7 2 4 2 5" xfId="1556"/>
    <cellStyle name="Normal 2 7 2 4 2 6" xfId="1557"/>
    <cellStyle name="Normal 2 7 2 4 2 7" xfId="1558"/>
    <cellStyle name="Normal 2 7 2 4 3" xfId="1559"/>
    <cellStyle name="Normal 2 7 2 4 3 2" xfId="1560"/>
    <cellStyle name="Normal 2 7 2 4 3 3" xfId="1561"/>
    <cellStyle name="Normal 2 7 2 4 3 4" xfId="1562"/>
    <cellStyle name="Normal 2 7 2 4 3 5" xfId="1563"/>
    <cellStyle name="Normal 2 7 2 4 3 6" xfId="1564"/>
    <cellStyle name="Normal 2 7 2 4 4" xfId="1565"/>
    <cellStyle name="Normal 2 7 2 4 5" xfId="1566"/>
    <cellStyle name="Normal 2 7 2 4 6" xfId="1567"/>
    <cellStyle name="Normal 2 7 2 4 7" xfId="1568"/>
    <cellStyle name="Normal 2 7 2 4 8" xfId="1569"/>
    <cellStyle name="Normal 2 7 2 5" xfId="1570"/>
    <cellStyle name="Normal 2 7 2 5 2" xfId="1571"/>
    <cellStyle name="Normal 2 7 2 5 2 2" xfId="1572"/>
    <cellStyle name="Normal 2 7 2 5 2 3" xfId="1573"/>
    <cellStyle name="Normal 2 7 2 5 2 4" xfId="1574"/>
    <cellStyle name="Normal 2 7 2 5 2 5" xfId="1575"/>
    <cellStyle name="Normal 2 7 2 5 2 6" xfId="1576"/>
    <cellStyle name="Normal 2 7 2 5 3" xfId="1577"/>
    <cellStyle name="Normal 2 7 2 5 4" xfId="1578"/>
    <cellStyle name="Normal 2 7 2 5 5" xfId="1579"/>
    <cellStyle name="Normal 2 7 2 5 6" xfId="1580"/>
    <cellStyle name="Normal 2 7 2 5 7" xfId="1581"/>
    <cellStyle name="Normal 2 7 2 6" xfId="1582"/>
    <cellStyle name="Normal 2 7 2 6 2" xfId="1583"/>
    <cellStyle name="Normal 2 7 2 6 3" xfId="1584"/>
    <cellStyle name="Normal 2 7 2 6 4" xfId="1585"/>
    <cellStyle name="Normal 2 7 2 6 5" xfId="1586"/>
    <cellStyle name="Normal 2 7 2 6 6" xfId="1587"/>
    <cellStyle name="Normal 2 7 2 7" xfId="1588"/>
    <cellStyle name="Normal 2 7 2 8" xfId="1589"/>
    <cellStyle name="Normal 2 7 2 9" xfId="1590"/>
    <cellStyle name="Normal 2 7 3" xfId="1591"/>
    <cellStyle name="Normal 2 7 3 10" xfId="1592"/>
    <cellStyle name="Normal 2 7 3 11" xfId="1593"/>
    <cellStyle name="Normal 2 7 3 12" xfId="1594"/>
    <cellStyle name="Normal 2 7 3 2" xfId="1595"/>
    <cellStyle name="Normal 2 7 3 2 10" xfId="1596"/>
    <cellStyle name="Normal 2 7 3 2 2" xfId="1597"/>
    <cellStyle name="Normal 2 7 3 2 2 2" xfId="1598"/>
    <cellStyle name="Normal 2 7 3 2 2 2 2" xfId="1599"/>
    <cellStyle name="Normal 2 7 3 2 2 2 2 2" xfId="1600"/>
    <cellStyle name="Normal 2 7 3 2 2 2 2 3" xfId="1601"/>
    <cellStyle name="Normal 2 7 3 2 2 2 2 4" xfId="1602"/>
    <cellStyle name="Normal 2 7 3 2 2 2 2 5" xfId="1603"/>
    <cellStyle name="Normal 2 7 3 2 2 2 2 6" xfId="1604"/>
    <cellStyle name="Normal 2 7 3 2 2 2 3" xfId="1605"/>
    <cellStyle name="Normal 2 7 3 2 2 2 4" xfId="1606"/>
    <cellStyle name="Normal 2 7 3 2 2 2 5" xfId="1607"/>
    <cellStyle name="Normal 2 7 3 2 2 2 6" xfId="1608"/>
    <cellStyle name="Normal 2 7 3 2 2 2 7" xfId="1609"/>
    <cellStyle name="Normal 2 7 3 2 2 3" xfId="1610"/>
    <cellStyle name="Normal 2 7 3 2 2 3 2" xfId="1611"/>
    <cellStyle name="Normal 2 7 3 2 2 3 3" xfId="1612"/>
    <cellStyle name="Normal 2 7 3 2 2 3 4" xfId="1613"/>
    <cellStyle name="Normal 2 7 3 2 2 3 5" xfId="1614"/>
    <cellStyle name="Normal 2 7 3 2 2 3 6" xfId="1615"/>
    <cellStyle name="Normal 2 7 3 2 2 4" xfId="1616"/>
    <cellStyle name="Normal 2 7 3 2 2 5" xfId="1617"/>
    <cellStyle name="Normal 2 7 3 2 2 6" xfId="1618"/>
    <cellStyle name="Normal 2 7 3 2 2 7" xfId="1619"/>
    <cellStyle name="Normal 2 7 3 2 2 8" xfId="1620"/>
    <cellStyle name="Normal 2 7 3 2 3" xfId="1621"/>
    <cellStyle name="Normal 2 7 3 2 3 2" xfId="1622"/>
    <cellStyle name="Normal 2 7 3 2 3 2 2" xfId="1623"/>
    <cellStyle name="Normal 2 7 3 2 3 2 2 2" xfId="1624"/>
    <cellStyle name="Normal 2 7 3 2 3 2 2 3" xfId="1625"/>
    <cellStyle name="Normal 2 7 3 2 3 2 2 4" xfId="1626"/>
    <cellStyle name="Normal 2 7 3 2 3 2 2 5" xfId="1627"/>
    <cellStyle name="Normal 2 7 3 2 3 2 2 6" xfId="1628"/>
    <cellStyle name="Normal 2 7 3 2 3 2 3" xfId="1629"/>
    <cellStyle name="Normal 2 7 3 2 3 2 4" xfId="1630"/>
    <cellStyle name="Normal 2 7 3 2 3 2 5" xfId="1631"/>
    <cellStyle name="Normal 2 7 3 2 3 2 6" xfId="1632"/>
    <cellStyle name="Normal 2 7 3 2 3 2 7" xfId="1633"/>
    <cellStyle name="Normal 2 7 3 2 3 3" xfId="1634"/>
    <cellStyle name="Normal 2 7 3 2 3 3 2" xfId="1635"/>
    <cellStyle name="Normal 2 7 3 2 3 3 3" xfId="1636"/>
    <cellStyle name="Normal 2 7 3 2 3 3 4" xfId="1637"/>
    <cellStyle name="Normal 2 7 3 2 3 3 5" xfId="1638"/>
    <cellStyle name="Normal 2 7 3 2 3 3 6" xfId="1639"/>
    <cellStyle name="Normal 2 7 3 2 3 4" xfId="1640"/>
    <cellStyle name="Normal 2 7 3 2 3 5" xfId="1641"/>
    <cellStyle name="Normal 2 7 3 2 3 6" xfId="1642"/>
    <cellStyle name="Normal 2 7 3 2 3 7" xfId="1643"/>
    <cellStyle name="Normal 2 7 3 2 3 8" xfId="1644"/>
    <cellStyle name="Normal 2 7 3 2 4" xfId="1645"/>
    <cellStyle name="Normal 2 7 3 2 4 2" xfId="1646"/>
    <cellStyle name="Normal 2 7 3 2 4 2 2" xfId="1647"/>
    <cellStyle name="Normal 2 7 3 2 4 2 3" xfId="1648"/>
    <cellStyle name="Normal 2 7 3 2 4 2 4" xfId="1649"/>
    <cellStyle name="Normal 2 7 3 2 4 2 5" xfId="1650"/>
    <cellStyle name="Normal 2 7 3 2 4 2 6" xfId="1651"/>
    <cellStyle name="Normal 2 7 3 2 4 3" xfId="1652"/>
    <cellStyle name="Normal 2 7 3 2 4 4" xfId="1653"/>
    <cellStyle name="Normal 2 7 3 2 4 5" xfId="1654"/>
    <cellStyle name="Normal 2 7 3 2 4 6" xfId="1655"/>
    <cellStyle name="Normal 2 7 3 2 4 7" xfId="1656"/>
    <cellStyle name="Normal 2 7 3 2 5" xfId="1657"/>
    <cellStyle name="Normal 2 7 3 2 5 2" xfId="1658"/>
    <cellStyle name="Normal 2 7 3 2 5 3" xfId="1659"/>
    <cellStyle name="Normal 2 7 3 2 5 4" xfId="1660"/>
    <cellStyle name="Normal 2 7 3 2 5 5" xfId="1661"/>
    <cellStyle name="Normal 2 7 3 2 5 6" xfId="1662"/>
    <cellStyle name="Normal 2 7 3 2 6" xfId="1663"/>
    <cellStyle name="Normal 2 7 3 2 7" xfId="1664"/>
    <cellStyle name="Normal 2 7 3 2 8" xfId="1665"/>
    <cellStyle name="Normal 2 7 3 2 9" xfId="1666"/>
    <cellStyle name="Normal 2 7 3 3" xfId="1667"/>
    <cellStyle name="Normal 2 7 3 3 2" xfId="1668"/>
    <cellStyle name="Normal 2 7 3 3 2 2" xfId="1669"/>
    <cellStyle name="Normal 2 7 3 3 2 2 2" xfId="1670"/>
    <cellStyle name="Normal 2 7 3 3 2 2 3" xfId="1671"/>
    <cellStyle name="Normal 2 7 3 3 2 2 4" xfId="1672"/>
    <cellStyle name="Normal 2 7 3 3 2 2 5" xfId="1673"/>
    <cellStyle name="Normal 2 7 3 3 2 2 6" xfId="1674"/>
    <cellStyle name="Normal 2 7 3 3 2 3" xfId="1675"/>
    <cellStyle name="Normal 2 7 3 3 2 4" xfId="1676"/>
    <cellStyle name="Normal 2 7 3 3 2 5" xfId="1677"/>
    <cellStyle name="Normal 2 7 3 3 2 6" xfId="1678"/>
    <cellStyle name="Normal 2 7 3 3 2 7" xfId="1679"/>
    <cellStyle name="Normal 2 7 3 3 3" xfId="1680"/>
    <cellStyle name="Normal 2 7 3 3 3 2" xfId="1681"/>
    <cellStyle name="Normal 2 7 3 3 3 3" xfId="1682"/>
    <cellStyle name="Normal 2 7 3 3 3 4" xfId="1683"/>
    <cellStyle name="Normal 2 7 3 3 3 5" xfId="1684"/>
    <cellStyle name="Normal 2 7 3 3 3 6" xfId="1685"/>
    <cellStyle name="Normal 2 7 3 3 4" xfId="1686"/>
    <cellStyle name="Normal 2 7 3 3 5" xfId="1687"/>
    <cellStyle name="Normal 2 7 3 3 6" xfId="1688"/>
    <cellStyle name="Normal 2 7 3 3 7" xfId="1689"/>
    <cellStyle name="Normal 2 7 3 3 8" xfId="1690"/>
    <cellStyle name="Normal 2 7 3 4" xfId="1691"/>
    <cellStyle name="Normal 2 7 3 4 2" xfId="1692"/>
    <cellStyle name="Normal 2 7 3 4 2 2" xfId="1693"/>
    <cellStyle name="Normal 2 7 3 4 2 2 2" xfId="1694"/>
    <cellStyle name="Normal 2 7 3 4 2 2 3" xfId="1695"/>
    <cellStyle name="Normal 2 7 3 4 2 2 4" xfId="1696"/>
    <cellStyle name="Normal 2 7 3 4 2 2 5" xfId="1697"/>
    <cellStyle name="Normal 2 7 3 4 2 2 6" xfId="1698"/>
    <cellStyle name="Normal 2 7 3 4 2 3" xfId="1699"/>
    <cellStyle name="Normal 2 7 3 4 2 4" xfId="1700"/>
    <cellStyle name="Normal 2 7 3 4 2 5" xfId="1701"/>
    <cellStyle name="Normal 2 7 3 4 2 6" xfId="1702"/>
    <cellStyle name="Normal 2 7 3 4 2 7" xfId="1703"/>
    <cellStyle name="Normal 2 7 3 4 3" xfId="1704"/>
    <cellStyle name="Normal 2 7 3 4 3 2" xfId="1705"/>
    <cellStyle name="Normal 2 7 3 4 3 3" xfId="1706"/>
    <cellStyle name="Normal 2 7 3 4 3 4" xfId="1707"/>
    <cellStyle name="Normal 2 7 3 4 3 5" xfId="1708"/>
    <cellStyle name="Normal 2 7 3 4 3 6" xfId="1709"/>
    <cellStyle name="Normal 2 7 3 4 4" xfId="1710"/>
    <cellStyle name="Normal 2 7 3 4 5" xfId="1711"/>
    <cellStyle name="Normal 2 7 3 4 6" xfId="1712"/>
    <cellStyle name="Normal 2 7 3 4 7" xfId="1713"/>
    <cellStyle name="Normal 2 7 3 4 8" xfId="1714"/>
    <cellStyle name="Normal 2 7 3 5" xfId="1715"/>
    <cellStyle name="Normal 2 7 3 5 2" xfId="1716"/>
    <cellStyle name="Normal 2 7 3 5 2 2" xfId="1717"/>
    <cellStyle name="Normal 2 7 3 5 2 3" xfId="1718"/>
    <cellStyle name="Normal 2 7 3 5 2 4" xfId="1719"/>
    <cellStyle name="Normal 2 7 3 5 2 5" xfId="1720"/>
    <cellStyle name="Normal 2 7 3 5 2 6" xfId="1721"/>
    <cellStyle name="Normal 2 7 3 5 3" xfId="1722"/>
    <cellStyle name="Normal 2 7 3 5 4" xfId="1723"/>
    <cellStyle name="Normal 2 7 3 5 5" xfId="1724"/>
    <cellStyle name="Normal 2 7 3 5 6" xfId="1725"/>
    <cellStyle name="Normal 2 7 3 5 7" xfId="1726"/>
    <cellStyle name="Normal 2 7 3 6" xfId="1727"/>
    <cellStyle name="Normal 2 7 3 6 2" xfId="1728"/>
    <cellStyle name="Normal 2 7 3 6 3" xfId="1729"/>
    <cellStyle name="Normal 2 7 3 6 4" xfId="1730"/>
    <cellStyle name="Normal 2 7 3 6 5" xfId="1731"/>
    <cellStyle name="Normal 2 7 3 6 6" xfId="1732"/>
    <cellStyle name="Normal 2 7 3 7" xfId="1733"/>
    <cellStyle name="Normal 2 7 3 8" xfId="1734"/>
    <cellStyle name="Normal 2 7 3 9" xfId="1735"/>
    <cellStyle name="Normal 2 7 4" xfId="1736"/>
    <cellStyle name="Normal 2 7 4 10" xfId="1737"/>
    <cellStyle name="Normal 2 7 4 11" xfId="1738"/>
    <cellStyle name="Normal 2 7 4 2" xfId="1739"/>
    <cellStyle name="Normal 2 7 4 2 2" xfId="1740"/>
    <cellStyle name="Normal 2 7 4 2 2 2" xfId="1741"/>
    <cellStyle name="Normal 2 7 4 2 2 2 2" xfId="1742"/>
    <cellStyle name="Normal 2 7 4 2 2 2 3" xfId="1743"/>
    <cellStyle name="Normal 2 7 4 2 2 2 4" xfId="1744"/>
    <cellStyle name="Normal 2 7 4 2 2 2 5" xfId="1745"/>
    <cellStyle name="Normal 2 7 4 2 2 2 6" xfId="1746"/>
    <cellStyle name="Normal 2 7 4 2 2 3" xfId="1747"/>
    <cellStyle name="Normal 2 7 4 2 2 4" xfId="1748"/>
    <cellStyle name="Normal 2 7 4 2 2 5" xfId="1749"/>
    <cellStyle name="Normal 2 7 4 2 2 6" xfId="1750"/>
    <cellStyle name="Normal 2 7 4 2 2 7" xfId="1751"/>
    <cellStyle name="Normal 2 7 4 2 3" xfId="1752"/>
    <cellStyle name="Normal 2 7 4 2 3 2" xfId="1753"/>
    <cellStyle name="Normal 2 7 4 2 3 3" xfId="1754"/>
    <cellStyle name="Normal 2 7 4 2 3 4" xfId="1755"/>
    <cellStyle name="Normal 2 7 4 2 3 5" xfId="1756"/>
    <cellStyle name="Normal 2 7 4 2 3 6" xfId="1757"/>
    <cellStyle name="Normal 2 7 4 2 4" xfId="1758"/>
    <cellStyle name="Normal 2 7 4 2 5" xfId="1759"/>
    <cellStyle name="Normal 2 7 4 2 6" xfId="1760"/>
    <cellStyle name="Normal 2 7 4 2 7" xfId="1761"/>
    <cellStyle name="Normal 2 7 4 2 8" xfId="1762"/>
    <cellStyle name="Normal 2 7 4 3" xfId="1763"/>
    <cellStyle name="Normal 2 7 4 3 2" xfId="1764"/>
    <cellStyle name="Normal 2 7 4 3 2 2" xfId="1765"/>
    <cellStyle name="Normal 2 7 4 3 2 2 2" xfId="1766"/>
    <cellStyle name="Normal 2 7 4 3 2 2 3" xfId="1767"/>
    <cellStyle name="Normal 2 7 4 3 2 2 4" xfId="1768"/>
    <cellStyle name="Normal 2 7 4 3 2 2 5" xfId="1769"/>
    <cellStyle name="Normal 2 7 4 3 2 2 6" xfId="1770"/>
    <cellStyle name="Normal 2 7 4 3 2 3" xfId="1771"/>
    <cellStyle name="Normal 2 7 4 3 2 4" xfId="1772"/>
    <cellStyle name="Normal 2 7 4 3 2 5" xfId="1773"/>
    <cellStyle name="Normal 2 7 4 3 2 6" xfId="1774"/>
    <cellStyle name="Normal 2 7 4 3 2 7" xfId="1775"/>
    <cellStyle name="Normal 2 7 4 3 3" xfId="1776"/>
    <cellStyle name="Normal 2 7 4 3 3 2" xfId="1777"/>
    <cellStyle name="Normal 2 7 4 3 3 3" xfId="1778"/>
    <cellStyle name="Normal 2 7 4 3 3 4" xfId="1779"/>
    <cellStyle name="Normal 2 7 4 3 3 5" xfId="1780"/>
    <cellStyle name="Normal 2 7 4 3 3 6" xfId="1781"/>
    <cellStyle name="Normal 2 7 4 3 4" xfId="1782"/>
    <cellStyle name="Normal 2 7 4 3 5" xfId="1783"/>
    <cellStyle name="Normal 2 7 4 3 6" xfId="1784"/>
    <cellStyle name="Normal 2 7 4 3 7" xfId="1785"/>
    <cellStyle name="Normal 2 7 4 3 8" xfId="1786"/>
    <cellStyle name="Normal 2 7 4 4" xfId="1787"/>
    <cellStyle name="Normal 2 7 4 4 2" xfId="1788"/>
    <cellStyle name="Normal 2 7 4 4 2 2" xfId="1789"/>
    <cellStyle name="Normal 2 7 4 4 2 3" xfId="1790"/>
    <cellStyle name="Normal 2 7 4 4 2 4" xfId="1791"/>
    <cellStyle name="Normal 2 7 4 4 2 5" xfId="1792"/>
    <cellStyle name="Normal 2 7 4 4 2 6" xfId="1793"/>
    <cellStyle name="Normal 2 7 4 4 3" xfId="1794"/>
    <cellStyle name="Normal 2 7 4 4 4" xfId="1795"/>
    <cellStyle name="Normal 2 7 4 4 5" xfId="1796"/>
    <cellStyle name="Normal 2 7 4 4 6" xfId="1797"/>
    <cellStyle name="Normal 2 7 4 4 7" xfId="1798"/>
    <cellStyle name="Normal 2 7 4 5" xfId="1799"/>
    <cellStyle name="Normal 2 7 4 5 2" xfId="1800"/>
    <cellStyle name="Normal 2 7 4 5 3" xfId="1801"/>
    <cellStyle name="Normal 2 7 4 5 4" xfId="1802"/>
    <cellStyle name="Normal 2 7 4 5 5" xfId="1803"/>
    <cellStyle name="Normal 2 7 4 5 6" xfId="1804"/>
    <cellStyle name="Normal 2 7 4 6" xfId="1805"/>
    <cellStyle name="Normal 2 7 4 7" xfId="1806"/>
    <cellStyle name="Normal 2 7 4 8" xfId="1807"/>
    <cellStyle name="Normal 2 7 4 9" xfId="1808"/>
    <cellStyle name="Normal 2 7 5" xfId="1809"/>
    <cellStyle name="Normal 2 7 5 2" xfId="1810"/>
    <cellStyle name="Normal 2 7 5 2 2" xfId="1811"/>
    <cellStyle name="Normal 2 7 5 2 2 2" xfId="1812"/>
    <cellStyle name="Normal 2 7 5 2 2 3" xfId="1813"/>
    <cellStyle name="Normal 2 7 5 2 2 4" xfId="1814"/>
    <cellStyle name="Normal 2 7 5 2 2 5" xfId="1815"/>
    <cellStyle name="Normal 2 7 5 2 2 6" xfId="1816"/>
    <cellStyle name="Normal 2 7 5 2 3" xfId="1817"/>
    <cellStyle name="Normal 2 7 5 2 4" xfId="1818"/>
    <cellStyle name="Normal 2 7 5 2 5" xfId="1819"/>
    <cellStyle name="Normal 2 7 5 2 6" xfId="1820"/>
    <cellStyle name="Normal 2 7 5 2 7" xfId="1821"/>
    <cellStyle name="Normal 2 7 5 3" xfId="1822"/>
    <cellStyle name="Normal 2 7 5 3 2" xfId="1823"/>
    <cellStyle name="Normal 2 7 5 3 3" xfId="1824"/>
    <cellStyle name="Normal 2 7 5 3 4" xfId="1825"/>
    <cellStyle name="Normal 2 7 5 3 5" xfId="1826"/>
    <cellStyle name="Normal 2 7 5 3 6" xfId="1827"/>
    <cellStyle name="Normal 2 7 5 4" xfId="1828"/>
    <cellStyle name="Normal 2 7 5 5" xfId="1829"/>
    <cellStyle name="Normal 2 7 5 6" xfId="1830"/>
    <cellStyle name="Normal 2 7 5 7" xfId="1831"/>
    <cellStyle name="Normal 2 7 5 8" xfId="1832"/>
    <cellStyle name="Normal 2 7 6" xfId="1833"/>
    <cellStyle name="Normal 2 7 6 2" xfId="1834"/>
    <cellStyle name="Normal 2 7 6 2 2" xfId="1835"/>
    <cellStyle name="Normal 2 7 6 2 2 2" xfId="1836"/>
    <cellStyle name="Normal 2 7 6 2 2 3" xfId="1837"/>
    <cellStyle name="Normal 2 7 6 2 2 4" xfId="1838"/>
    <cellStyle name="Normal 2 7 6 2 2 5" xfId="1839"/>
    <cellStyle name="Normal 2 7 6 2 2 6" xfId="1840"/>
    <cellStyle name="Normal 2 7 6 2 3" xfId="1841"/>
    <cellStyle name="Normal 2 7 6 2 4" xfId="1842"/>
    <cellStyle name="Normal 2 7 6 2 5" xfId="1843"/>
    <cellStyle name="Normal 2 7 6 2 6" xfId="1844"/>
    <cellStyle name="Normal 2 7 6 2 7" xfId="1845"/>
    <cellStyle name="Normal 2 7 6 3" xfId="1846"/>
    <cellStyle name="Normal 2 7 6 3 2" xfId="1847"/>
    <cellStyle name="Normal 2 7 6 3 3" xfId="1848"/>
    <cellStyle name="Normal 2 7 6 3 4" xfId="1849"/>
    <cellStyle name="Normal 2 7 6 3 5" xfId="1850"/>
    <cellStyle name="Normal 2 7 6 3 6" xfId="1851"/>
    <cellStyle name="Normal 2 7 6 4" xfId="1852"/>
    <cellStyle name="Normal 2 7 6 5" xfId="1853"/>
    <cellStyle name="Normal 2 7 6 6" xfId="1854"/>
    <cellStyle name="Normal 2 7 6 7" xfId="1855"/>
    <cellStyle name="Normal 2 7 6 8" xfId="1856"/>
    <cellStyle name="Normal 2 7 7" xfId="1857"/>
    <cellStyle name="Normal 2 7 7 2" xfId="1858"/>
    <cellStyle name="Normal 2 7 7 2 2" xfId="1859"/>
    <cellStyle name="Normal 2 7 7 2 3" xfId="1860"/>
    <cellStyle name="Normal 2 7 7 2 4" xfId="1861"/>
    <cellStyle name="Normal 2 7 7 2 5" xfId="1862"/>
    <cellStyle name="Normal 2 7 7 2 6" xfId="1863"/>
    <cellStyle name="Normal 2 7 7 3" xfId="1864"/>
    <cellStyle name="Normal 2 7 7 4" xfId="1865"/>
    <cellStyle name="Normal 2 7 7 5" xfId="1866"/>
    <cellStyle name="Normal 2 7 7 6" xfId="1867"/>
    <cellStyle name="Normal 2 7 7 7" xfId="1868"/>
    <cellStyle name="Normal 2 7 8" xfId="1869"/>
    <cellStyle name="Normal 2 7 8 2" xfId="1870"/>
    <cellStyle name="Normal 2 7 8 3" xfId="1871"/>
    <cellStyle name="Normal 2 7 8 4" xfId="1872"/>
    <cellStyle name="Normal 2 7 8 5" xfId="1873"/>
    <cellStyle name="Normal 2 7 8 6" xfId="1874"/>
    <cellStyle name="Normal 2 7 9" xfId="1875"/>
    <cellStyle name="Normal 2 8" xfId="1876"/>
    <cellStyle name="Normal 2 8 2" xfId="1877"/>
    <cellStyle name="Normal 2 8 2 2" xfId="1878"/>
    <cellStyle name="Normal 2 8 3" xfId="1879"/>
    <cellStyle name="Normal 2 8 4" xfId="1880"/>
    <cellStyle name="Normal 2 9" xfId="1881"/>
    <cellStyle name="Normal 2 9 2" xfId="1882"/>
    <cellStyle name="Normal 3" xfId="1883"/>
    <cellStyle name="Normal 3 10" xfId="1884"/>
    <cellStyle name="Normal 3 11" xfId="1885"/>
    <cellStyle name="Normal 3 12" xfId="1886"/>
    <cellStyle name="Normal 3 13" xfId="1887"/>
    <cellStyle name="Normal 3 2" xfId="1888"/>
    <cellStyle name="Normal 3 2 10" xfId="1889"/>
    <cellStyle name="Normal 3 2 2" xfId="1890"/>
    <cellStyle name="Normal 3 2 2 2" xfId="1891"/>
    <cellStyle name="Normal 3 2 2 2 2" xfId="1892"/>
    <cellStyle name="Normal 3 2 2 2 2 2" xfId="1893"/>
    <cellStyle name="Normal 3 2 2 2 2 2 2" xfId="1894"/>
    <cellStyle name="Normal 3 2 2 2 2 3" xfId="1895"/>
    <cellStyle name="Normal 3 2 2 2 2 4" xfId="1896"/>
    <cellStyle name="Normal 3 2 2 2 3" xfId="1897"/>
    <cellStyle name="Normal 3 2 2 2 3 2" xfId="1898"/>
    <cellStyle name="Normal 3 2 2 2 4" xfId="1899"/>
    <cellStyle name="Normal 3 2 2 2 5" xfId="1900"/>
    <cellStyle name="Normal 3 2 2 3" xfId="1901"/>
    <cellStyle name="Normal 3 2 2 3 2" xfId="1902"/>
    <cellStyle name="Normal 3 2 2 3 2 2" xfId="1903"/>
    <cellStyle name="Normal 3 2 2 3 3" xfId="1904"/>
    <cellStyle name="Normal 3 2 2 3 4" xfId="1905"/>
    <cellStyle name="Normal 3 2 2 4" xfId="1906"/>
    <cellStyle name="Normal 3 2 2 4 2" xfId="1907"/>
    <cellStyle name="Normal 3 2 2 5" xfId="1908"/>
    <cellStyle name="Normal 3 2 2 6" xfId="1909"/>
    <cellStyle name="Normal 3 2 2 7" xfId="1910"/>
    <cellStyle name="Normal 3 2 3" xfId="1911"/>
    <cellStyle name="Normal 3 2 3 2" xfId="1912"/>
    <cellStyle name="Normal 3 2 3 2 2" xfId="1913"/>
    <cellStyle name="Normal 3 2 3 2 2 2" xfId="1914"/>
    <cellStyle name="Normal 3 2 3 2 3" xfId="1915"/>
    <cellStyle name="Normal 3 2 3 2 4" xfId="1916"/>
    <cellStyle name="Normal 3 2 3 3" xfId="1917"/>
    <cellStyle name="Normal 3 2 3 3 2" xfId="1918"/>
    <cellStyle name="Normal 3 2 3 3 2 2" xfId="1919"/>
    <cellStyle name="Normal 3 2 3 3 3" xfId="1920"/>
    <cellStyle name="Normal 3 2 3 3 4" xfId="1921"/>
    <cellStyle name="Normal 3 2 3 4" xfId="1922"/>
    <cellStyle name="Normal 3 2 3 4 2" xfId="1923"/>
    <cellStyle name="Normal 3 2 3 5" xfId="1924"/>
    <cellStyle name="Normal 3 2 3 6" xfId="1925"/>
    <cellStyle name="Normal 3 2 4" xfId="1926"/>
    <cellStyle name="Normal 3 2 4 2" xfId="1927"/>
    <cellStyle name="Normal 3 2 4 2 2" xfId="1928"/>
    <cellStyle name="Normal 3 2 4 3" xfId="1929"/>
    <cellStyle name="Normal 3 2 4 4" xfId="1930"/>
    <cellStyle name="Normal 3 2 5" xfId="1931"/>
    <cellStyle name="Normal 3 2 5 2" xfId="1932"/>
    <cellStyle name="Normal 3 2 5 2 2" xfId="1933"/>
    <cellStyle name="Normal 3 2 5 3" xfId="1934"/>
    <cellStyle name="Normal 3 2 5 4" xfId="1935"/>
    <cellStyle name="Normal 3 2 6" xfId="1936"/>
    <cellStyle name="Normal 3 2 6 2" xfId="1937"/>
    <cellStyle name="Normal 3 2 7" xfId="1938"/>
    <cellStyle name="Normal 3 2 8" xfId="1939"/>
    <cellStyle name="Normal 3 2 9" xfId="1940"/>
    <cellStyle name="Normal 3 3" xfId="1941"/>
    <cellStyle name="Normal 3 3 2" xfId="1942"/>
    <cellStyle name="Normal 3 3 2 2" xfId="1943"/>
    <cellStyle name="Normal 3 3 2 2 2" xfId="1944"/>
    <cellStyle name="Normal 3 3 2 2 2 2" xfId="1945"/>
    <cellStyle name="Normal 3 3 2 2 3" xfId="1946"/>
    <cellStyle name="Normal 3 3 2 2 4" xfId="1947"/>
    <cellStyle name="Normal 3 3 2 3" xfId="1948"/>
    <cellStyle name="Normal 3 3 2 3 2" xfId="1949"/>
    <cellStyle name="Normal 3 3 2 3 2 2" xfId="1950"/>
    <cellStyle name="Normal 3 3 2 3 3" xfId="1951"/>
    <cellStyle name="Normal 3 3 2 3 4" xfId="1952"/>
    <cellStyle name="Normal 3 3 2 4" xfId="1953"/>
    <cellStyle name="Normal 3 3 2 4 2" xfId="1954"/>
    <cellStyle name="Normal 3 3 2 5" xfId="1955"/>
    <cellStyle name="Normal 3 3 2 6" xfId="1956"/>
    <cellStyle name="Normal 3 3 3" xfId="1957"/>
    <cellStyle name="Normal 3 3 3 2" xfId="1958"/>
    <cellStyle name="Normal 3 3 3 2 2" xfId="1959"/>
    <cellStyle name="Normal 3 3 3 3" xfId="1960"/>
    <cellStyle name="Normal 3 3 3 4" xfId="1961"/>
    <cellStyle name="Normal 3 3 4" xfId="1962"/>
    <cellStyle name="Normal 3 3 4 2" xfId="1963"/>
    <cellStyle name="Normal 3 3 4 2 2" xfId="1964"/>
    <cellStyle name="Normal 3 3 4 3" xfId="1965"/>
    <cellStyle name="Normal 3 3 4 4" xfId="1966"/>
    <cellStyle name="Normal 3 3 5" xfId="1967"/>
    <cellStyle name="Normal 3 3 5 2" xfId="1968"/>
    <cellStyle name="Normal 3 3 6" xfId="1969"/>
    <cellStyle name="Normal 3 3 7" xfId="1970"/>
    <cellStyle name="Normal 3 3 8" xfId="1971"/>
    <cellStyle name="Normal 3 4" xfId="1972"/>
    <cellStyle name="Normal 3 4 2" xfId="1973"/>
    <cellStyle name="Normal 3 4 2 2" xfId="1974"/>
    <cellStyle name="Normal 3 4 2 2 2" xfId="1975"/>
    <cellStyle name="Normal 3 4 2 3" xfId="1976"/>
    <cellStyle name="Normal 3 4 2 4" xfId="1977"/>
    <cellStyle name="Normal 3 4 3" xfId="1978"/>
    <cellStyle name="Normal 3 4 3 2" xfId="1979"/>
    <cellStyle name="Normal 3 4 3 2 2" xfId="1980"/>
    <cellStyle name="Normal 3 4 3 3" xfId="1981"/>
    <cellStyle name="Normal 3 4 3 4" xfId="1982"/>
    <cellStyle name="Normal 3 4 4" xfId="1983"/>
    <cellStyle name="Normal 3 4 4 2" xfId="1984"/>
    <cellStyle name="Normal 3 4 5" xfId="1985"/>
    <cellStyle name="Normal 3 4 6" xfId="1986"/>
    <cellStyle name="Normal 3 4 7" xfId="1987"/>
    <cellStyle name="Normal 3 5" xfId="1988"/>
    <cellStyle name="Normal 3 5 2" xfId="1989"/>
    <cellStyle name="Normal 3 5 2 2" xfId="1990"/>
    <cellStyle name="Normal 3 5 3" xfId="1991"/>
    <cellStyle name="Normal 3 5 4" xfId="1992"/>
    <cellStyle name="Normal 3 6" xfId="1993"/>
    <cellStyle name="Normal 3 6 2" xfId="1994"/>
    <cellStyle name="Normal 3 6 2 2" xfId="1995"/>
    <cellStyle name="Normal 3 6 3" xfId="1996"/>
    <cellStyle name="Normal 3 6 4" xfId="1997"/>
    <cellStyle name="Normal 3 7" xfId="1998"/>
    <cellStyle name="Normal 3 7 2" xfId="1999"/>
    <cellStyle name="Normal 3 7 3" xfId="2000"/>
    <cellStyle name="Normal 3 8" xfId="2001"/>
    <cellStyle name="Normal 3 9" xfId="2002"/>
    <cellStyle name="Normal 4" xfId="2003"/>
    <cellStyle name="Normal 4 2" xfId="2004"/>
    <cellStyle name="Normal 4 3" xfId="2005"/>
    <cellStyle name="Normal 5" xfId="2006"/>
    <cellStyle name="Normal 5 2" xfId="2007"/>
    <cellStyle name="Normal 6" xfId="2008"/>
    <cellStyle name="Normal_20120202 Sample Statistic_to Rating" xfId="2009"/>
    <cellStyle name="s]_x000d__x000a_;load=C:\WINDOWS\VERINST.EXE APMAPP.EXE _x000d__x000a_run=_x000d__x000a_Beep=yes_x000d__x000a_NullPort=None_x000d__x000a_BorderWidth=3_x000d__x000a_CursorBlinkRate=780_x000d__x000a_Double" xfId="2010"/>
    <cellStyle name="Standard 2" xfId="2011"/>
    <cellStyle name="Standard 2 2" xfId="2012"/>
    <cellStyle name="XLConnect.Numeric" xfId="2013"/>
    <cellStyle name="XLConnect.Numeric 10" xfId="2014"/>
    <cellStyle name="XLConnect.Numeric 10 2" xfId="2015"/>
    <cellStyle name="XLConnect.Numeric 10 2 2" xfId="2016"/>
    <cellStyle name="XLConnect.Numeric 10 3" xfId="2017"/>
    <cellStyle name="XLConnect.Numeric 10 4" xfId="2018"/>
    <cellStyle name="XLConnect.Numeric 10 5" xfId="2019"/>
    <cellStyle name="XLConnect.Numeric 11" xfId="2020"/>
    <cellStyle name="XLConnect.Numeric 11 2" xfId="2021"/>
    <cellStyle name="XLConnect.Numeric 11 3" xfId="2022"/>
    <cellStyle name="XLConnect.Numeric 12" xfId="2023"/>
    <cellStyle name="XLConnect.Numeric 13" xfId="2024"/>
    <cellStyle name="XLConnect.Numeric 14" xfId="2025"/>
    <cellStyle name="XLConnect.Numeric 2" xfId="2026"/>
    <cellStyle name="XLConnect.Numeric 2 10" xfId="2027"/>
    <cellStyle name="XLConnect.Numeric 2 2" xfId="2028"/>
    <cellStyle name="XLConnect.Numeric 2 2 2" xfId="2029"/>
    <cellStyle name="XLConnect.Numeric 2 2 2 2" xfId="2030"/>
    <cellStyle name="XLConnect.Numeric 2 2 2 2 2" xfId="2031"/>
    <cellStyle name="XLConnect.Numeric 2 2 2 2 2 2" xfId="2032"/>
    <cellStyle name="XLConnect.Numeric 2 2 2 2 3" xfId="2033"/>
    <cellStyle name="XLConnect.Numeric 2 2 2 2 4" xfId="2034"/>
    <cellStyle name="XLConnect.Numeric 2 2 2 2 5" xfId="2035"/>
    <cellStyle name="XLConnect.Numeric 2 2 2 3" xfId="2036"/>
    <cellStyle name="XLConnect.Numeric 2 2 2 3 2" xfId="2037"/>
    <cellStyle name="XLConnect.Numeric 2 2 2 3 3" xfId="2038"/>
    <cellStyle name="XLConnect.Numeric 2 2 2 4" xfId="2039"/>
    <cellStyle name="XLConnect.Numeric 2 2 2 4 2" xfId="2040"/>
    <cellStyle name="XLConnect.Numeric 2 2 2 5" xfId="2041"/>
    <cellStyle name="XLConnect.Numeric 2 2 2 5 2" xfId="2042"/>
    <cellStyle name="XLConnect.Numeric 2 2 2 6" xfId="2043"/>
    <cellStyle name="XLConnect.Numeric 2 2 2 7" xfId="2044"/>
    <cellStyle name="XLConnect.Numeric 2 2 3" xfId="2045"/>
    <cellStyle name="XLConnect.Numeric 2 2 3 2" xfId="2046"/>
    <cellStyle name="XLConnect.Numeric 2 2 3 2 2" xfId="2047"/>
    <cellStyle name="XLConnect.Numeric 2 2 3 3" xfId="2048"/>
    <cellStyle name="XLConnect.Numeric 2 2 3 4" xfId="2049"/>
    <cellStyle name="XLConnect.Numeric 2 2 3 5" xfId="2050"/>
    <cellStyle name="XLConnect.Numeric 2 2 4" xfId="2051"/>
    <cellStyle name="XLConnect.Numeric 2 2 4 2" xfId="2052"/>
    <cellStyle name="XLConnect.Numeric 2 2 4 3" xfId="2053"/>
    <cellStyle name="XLConnect.Numeric 2 2 5" xfId="2054"/>
    <cellStyle name="XLConnect.Numeric 2 2 5 2" xfId="2055"/>
    <cellStyle name="XLConnect.Numeric 2 2 6" xfId="2056"/>
    <cellStyle name="XLConnect.Numeric 2 2 6 2" xfId="2057"/>
    <cellStyle name="XLConnect.Numeric 2 2 7" xfId="2058"/>
    <cellStyle name="XLConnect.Numeric 2 2 8" xfId="2059"/>
    <cellStyle name="XLConnect.Numeric 2 3" xfId="2060"/>
    <cellStyle name="XLConnect.Numeric 2 3 2" xfId="2061"/>
    <cellStyle name="XLConnect.Numeric 2 3 2 2" xfId="2062"/>
    <cellStyle name="XLConnect.Numeric 2 3 2 2 2" xfId="2063"/>
    <cellStyle name="XLConnect.Numeric 2 3 2 2 3" xfId="2064"/>
    <cellStyle name="XLConnect.Numeric 2 3 2 3" xfId="2065"/>
    <cellStyle name="XLConnect.Numeric 2 3 2 3 2" xfId="2066"/>
    <cellStyle name="XLConnect.Numeric 2 3 2 4" xfId="2067"/>
    <cellStyle name="XLConnect.Numeric 2 3 2 4 2" xfId="2068"/>
    <cellStyle name="XLConnect.Numeric 2 3 2 5" xfId="2069"/>
    <cellStyle name="XLConnect.Numeric 2 3 2 6" xfId="2070"/>
    <cellStyle name="XLConnect.Numeric 2 3 2 7" xfId="2071"/>
    <cellStyle name="XLConnect.Numeric 2 3 3" xfId="2072"/>
    <cellStyle name="XLConnect.Numeric 2 3 3 2" xfId="2073"/>
    <cellStyle name="XLConnect.Numeric 2 3 3 2 2" xfId="2074"/>
    <cellStyle name="XLConnect.Numeric 2 3 3 3" xfId="2075"/>
    <cellStyle name="XLConnect.Numeric 2 3 3 4" xfId="2076"/>
    <cellStyle name="XLConnect.Numeric 2 3 3 5" xfId="2077"/>
    <cellStyle name="XLConnect.Numeric 2 3 4" xfId="2078"/>
    <cellStyle name="XLConnect.Numeric 2 3 4 2" xfId="2079"/>
    <cellStyle name="XLConnect.Numeric 2 3 4 3" xfId="2080"/>
    <cellStyle name="XLConnect.Numeric 2 3 5" xfId="2081"/>
    <cellStyle name="XLConnect.Numeric 2 3 5 2" xfId="2082"/>
    <cellStyle name="XLConnect.Numeric 2 3 6" xfId="2083"/>
    <cellStyle name="XLConnect.Numeric 2 3 6 2" xfId="2084"/>
    <cellStyle name="XLConnect.Numeric 2 3 7" xfId="2085"/>
    <cellStyle name="XLConnect.Numeric 2 3 8" xfId="2086"/>
    <cellStyle name="XLConnect.Numeric 2 4" xfId="2087"/>
    <cellStyle name="XLConnect.Numeric 2 4 2" xfId="2088"/>
    <cellStyle name="XLConnect.Numeric 2 4 2 2" xfId="2089"/>
    <cellStyle name="XLConnect.Numeric 2 4 2 3" xfId="2090"/>
    <cellStyle name="XLConnect.Numeric 2 4 3" xfId="2091"/>
    <cellStyle name="XLConnect.Numeric 2 4 3 2" xfId="2092"/>
    <cellStyle name="XLConnect.Numeric 2 4 4" xfId="2093"/>
    <cellStyle name="XLConnect.Numeric 2 4 4 2" xfId="2094"/>
    <cellStyle name="XLConnect.Numeric 2 4 5" xfId="2095"/>
    <cellStyle name="XLConnect.Numeric 2 4 6" xfId="2096"/>
    <cellStyle name="XLConnect.Numeric 2 4 7" xfId="2097"/>
    <cellStyle name="XLConnect.Numeric 2 5" xfId="2098"/>
    <cellStyle name="XLConnect.Numeric 2 5 2" xfId="2099"/>
    <cellStyle name="XLConnect.Numeric 2 5 2 2" xfId="2100"/>
    <cellStyle name="XLConnect.Numeric 2 5 3" xfId="2101"/>
    <cellStyle name="XLConnect.Numeric 2 5 4" xfId="2102"/>
    <cellStyle name="XLConnect.Numeric 2 5 5" xfId="2103"/>
    <cellStyle name="XLConnect.Numeric 2 6" xfId="2104"/>
    <cellStyle name="XLConnect.Numeric 2 6 2" xfId="2105"/>
    <cellStyle name="XLConnect.Numeric 2 6 3" xfId="2106"/>
    <cellStyle name="XLConnect.Numeric 2 7" xfId="2107"/>
    <cellStyle name="XLConnect.Numeric 2 7 2" xfId="2108"/>
    <cellStyle name="XLConnect.Numeric 2 8" xfId="2109"/>
    <cellStyle name="XLConnect.Numeric 2 8 2" xfId="2110"/>
    <cellStyle name="XLConnect.Numeric 2 9" xfId="2111"/>
    <cellStyle name="XLConnect.Numeric 2 9 2" xfId="2112"/>
    <cellStyle name="XLConnect.Numeric 3" xfId="2113"/>
    <cellStyle name="XLConnect.Numeric 3 2" xfId="2114"/>
    <cellStyle name="XLConnect.Numeric 3 2 2" xfId="2115"/>
    <cellStyle name="XLConnect.Numeric 3 2 2 2" xfId="2116"/>
    <cellStyle name="XLConnect.Numeric 3 2 2 2 2" xfId="2117"/>
    <cellStyle name="XLConnect.Numeric 3 2 2 2 2 2" xfId="2118"/>
    <cellStyle name="XLConnect.Numeric 3 2 2 2 3" xfId="2119"/>
    <cellStyle name="XLConnect.Numeric 3 2 2 2 4" xfId="2120"/>
    <cellStyle name="XLConnect.Numeric 3 2 2 3" xfId="2121"/>
    <cellStyle name="XLConnect.Numeric 3 2 2 3 2" xfId="2122"/>
    <cellStyle name="XLConnect.Numeric 3 2 2 4" xfId="2123"/>
    <cellStyle name="XLConnect.Numeric 3 2 2 5" xfId="2124"/>
    <cellStyle name="XLConnect.Numeric 3 2 2 6" xfId="2125"/>
    <cellStyle name="XLConnect.Numeric 3 2 3" xfId="2126"/>
    <cellStyle name="XLConnect.Numeric 3 2 3 2" xfId="2127"/>
    <cellStyle name="XLConnect.Numeric 3 2 3 2 2" xfId="2128"/>
    <cellStyle name="XLConnect.Numeric 3 2 3 3" xfId="2129"/>
    <cellStyle name="XLConnect.Numeric 3 2 3 4" xfId="2130"/>
    <cellStyle name="XLConnect.Numeric 3 2 3 5" xfId="2131"/>
    <cellStyle name="XLConnect.Numeric 3 2 4" xfId="2132"/>
    <cellStyle name="XLConnect.Numeric 3 2 4 2" xfId="2133"/>
    <cellStyle name="XLConnect.Numeric 3 2 4 3" xfId="2134"/>
    <cellStyle name="XLConnect.Numeric 3 2 5" xfId="2135"/>
    <cellStyle name="XLConnect.Numeric 3 2 5 2" xfId="2136"/>
    <cellStyle name="XLConnect.Numeric 3 2 6" xfId="2137"/>
    <cellStyle name="XLConnect.Numeric 3 2 6 2" xfId="2138"/>
    <cellStyle name="XLConnect.Numeric 3 2 7" xfId="2139"/>
    <cellStyle name="XLConnect.Numeric 3 3" xfId="2140"/>
    <cellStyle name="XLConnect.Numeric 3 3 2" xfId="2141"/>
    <cellStyle name="XLConnect.Numeric 3 3 2 2" xfId="2142"/>
    <cellStyle name="XLConnect.Numeric 3 3 2 2 2" xfId="2143"/>
    <cellStyle name="XLConnect.Numeric 3 3 2 3" xfId="2144"/>
    <cellStyle name="XLConnect.Numeric 3 3 2 4" xfId="2145"/>
    <cellStyle name="XLConnect.Numeric 3 3 3" xfId="2146"/>
    <cellStyle name="XLConnect.Numeric 3 3 3 2" xfId="2147"/>
    <cellStyle name="XLConnect.Numeric 3 3 4" xfId="2148"/>
    <cellStyle name="XLConnect.Numeric 3 3 5" xfId="2149"/>
    <cellStyle name="XLConnect.Numeric 3 3 6" xfId="2150"/>
    <cellStyle name="XLConnect.Numeric 3 4" xfId="2151"/>
    <cellStyle name="XLConnect.Numeric 3 4 2" xfId="2152"/>
    <cellStyle name="XLConnect.Numeric 3 4 2 2" xfId="2153"/>
    <cellStyle name="XLConnect.Numeric 3 4 3" xfId="2154"/>
    <cellStyle name="XLConnect.Numeric 3 4 4" xfId="2155"/>
    <cellStyle name="XLConnect.Numeric 3 4 5" xfId="2156"/>
    <cellStyle name="XLConnect.Numeric 3 5" xfId="2157"/>
    <cellStyle name="XLConnect.Numeric 3 5 2" xfId="2158"/>
    <cellStyle name="XLConnect.Numeric 3 5 3" xfId="2159"/>
    <cellStyle name="XLConnect.Numeric 3 6" xfId="2160"/>
    <cellStyle name="XLConnect.Numeric 3 6 2" xfId="2161"/>
    <cellStyle name="XLConnect.Numeric 3 7" xfId="2162"/>
    <cellStyle name="XLConnect.Numeric 3 7 2" xfId="2163"/>
    <cellStyle name="XLConnect.Numeric 3 8" xfId="2164"/>
    <cellStyle name="XLConnect.Numeric 4" xfId="2165"/>
    <cellStyle name="XLConnect.Numeric 4 2" xfId="2166"/>
    <cellStyle name="XLConnect.Numeric 4 2 2" xfId="2167"/>
    <cellStyle name="XLConnect.Numeric 4 2 2 2" xfId="2168"/>
    <cellStyle name="XLConnect.Numeric 4 2 2 2 2" xfId="2169"/>
    <cellStyle name="XLConnect.Numeric 4 2 2 3" xfId="2170"/>
    <cellStyle name="XLConnect.Numeric 4 2 2 4" xfId="2171"/>
    <cellStyle name="XLConnect.Numeric 4 2 3" xfId="2172"/>
    <cellStyle name="XLConnect.Numeric 4 2 3 2" xfId="2173"/>
    <cellStyle name="XLConnect.Numeric 4 2 4" xfId="2174"/>
    <cellStyle name="XLConnect.Numeric 4 2 5" xfId="2175"/>
    <cellStyle name="XLConnect.Numeric 4 3" xfId="2176"/>
    <cellStyle name="XLConnect.Numeric 4 3 2" xfId="2177"/>
    <cellStyle name="XLConnect.Numeric 4 3 2 2" xfId="2178"/>
    <cellStyle name="XLConnect.Numeric 4 3 3" xfId="2179"/>
    <cellStyle name="XLConnect.Numeric 4 3 4" xfId="2180"/>
    <cellStyle name="XLConnect.Numeric 4 4" xfId="2181"/>
    <cellStyle name="XLConnect.Numeric 4 4 2" xfId="2182"/>
    <cellStyle name="XLConnect.Numeric 4 5" xfId="2183"/>
    <cellStyle name="XLConnect.Numeric 4 6" xfId="2184"/>
    <cellStyle name="XLConnect.Numeric 4 7" xfId="2185"/>
    <cellStyle name="XLConnect.Numeric 4 8" xfId="2186"/>
    <cellStyle name="XLConnect.Numeric 5" xfId="2187"/>
    <cellStyle name="XLConnect.Numeric 5 2" xfId="2188"/>
    <cellStyle name="XLConnect.Numeric 5 2 2" xfId="2189"/>
    <cellStyle name="XLConnect.Numeric 5 2 2 2" xfId="2190"/>
    <cellStyle name="XLConnect.Numeric 5 2 3" xfId="2191"/>
    <cellStyle name="XLConnect.Numeric 5 2 4" xfId="2192"/>
    <cellStyle name="XLConnect.Numeric 5 3" xfId="2193"/>
    <cellStyle name="XLConnect.Numeric 5 3 2" xfId="2194"/>
    <cellStyle name="XLConnect.Numeric 5 3 2 2" xfId="2195"/>
    <cellStyle name="XLConnect.Numeric 5 3 3" xfId="2196"/>
    <cellStyle name="XLConnect.Numeric 5 3 4" xfId="2197"/>
    <cellStyle name="XLConnect.Numeric 5 4" xfId="2198"/>
    <cellStyle name="XLConnect.Numeric 5 4 2" xfId="2199"/>
    <cellStyle name="XLConnect.Numeric 5 5" xfId="2200"/>
    <cellStyle name="XLConnect.Numeric 5 6" xfId="2201"/>
    <cellStyle name="XLConnect.Numeric 5 7" xfId="2202"/>
    <cellStyle name="XLConnect.Numeric 6" xfId="2203"/>
    <cellStyle name="XLConnect.Numeric 6 2" xfId="2204"/>
    <cellStyle name="XLConnect.Numeric 6 2 2" xfId="2205"/>
    <cellStyle name="XLConnect.Numeric 6 2 2 2" xfId="2206"/>
    <cellStyle name="XLConnect.Numeric 6 2 3" xfId="2207"/>
    <cellStyle name="XLConnect.Numeric 6 2 4" xfId="2208"/>
    <cellStyle name="XLConnect.Numeric 6 2 5" xfId="2209"/>
    <cellStyle name="XLConnect.Numeric 6 3" xfId="2210"/>
    <cellStyle name="XLConnect.Numeric 6 3 2" xfId="2211"/>
    <cellStyle name="XLConnect.Numeric 6 3 3" xfId="2212"/>
    <cellStyle name="XLConnect.Numeric 6 4" xfId="2213"/>
    <cellStyle name="XLConnect.Numeric 6 4 2" xfId="2214"/>
    <cellStyle name="XLConnect.Numeric 6 5" xfId="2215"/>
    <cellStyle name="XLConnect.Numeric 6 5 2" xfId="2216"/>
    <cellStyle name="XLConnect.Numeric 6 6" xfId="2217"/>
    <cellStyle name="XLConnect.Numeric 6 7" xfId="2218"/>
    <cellStyle name="XLConnect.Numeric 7" xfId="2219"/>
    <cellStyle name="XLConnect.Numeric 7 2" xfId="2220"/>
    <cellStyle name="XLConnect.Numeric 7 2 2" xfId="2221"/>
    <cellStyle name="XLConnect.Numeric 7 2 2 2" xfId="2222"/>
    <cellStyle name="XLConnect.Numeric 7 2 3" xfId="2223"/>
    <cellStyle name="XLConnect.Numeric 7 2 4" xfId="2224"/>
    <cellStyle name="XLConnect.Numeric 7 3" xfId="2225"/>
    <cellStyle name="XLConnect.Numeric 7 3 2" xfId="2226"/>
    <cellStyle name="XLConnect.Numeric 7 4" xfId="2227"/>
    <cellStyle name="XLConnect.Numeric 7 5" xfId="2228"/>
    <cellStyle name="XLConnect.Numeric 7 6" xfId="2229"/>
    <cellStyle name="XLConnect.Numeric 8" xfId="2230"/>
    <cellStyle name="XLConnect.Numeric 8 2" xfId="2231"/>
    <cellStyle name="XLConnect.Numeric 8 2 2" xfId="2232"/>
    <cellStyle name="XLConnect.Numeric 8 3" xfId="2233"/>
    <cellStyle name="XLConnect.Numeric 8 4" xfId="2234"/>
    <cellStyle name="XLConnect.Numeric 8 5" xfId="2235"/>
    <cellStyle name="XLConnect.Numeric 9" xfId="2236"/>
    <cellStyle name="XLConnect.Numeric 9 2" xfId="2237"/>
    <cellStyle name="XLConnect.Numeric 9 2 2" xfId="2238"/>
    <cellStyle name="XLConnect.Numeric 9 3" xfId="2239"/>
    <cellStyle name="XLConnect.Numeric 9 4" xfId="2240"/>
    <cellStyle name="XLConnect.Numeric 9 5" xfId="2241"/>
    <cellStyle name="百分比 10" xfId="2242"/>
    <cellStyle name="百分比 10 10" xfId="2243"/>
    <cellStyle name="百分比 10 2" xfId="2244"/>
    <cellStyle name="百分比 10 2 2" xfId="2245"/>
    <cellStyle name="百分比 10 2 2 2" xfId="2246"/>
    <cellStyle name="百分比 10 2 2 2 2" xfId="2247"/>
    <cellStyle name="百分比 10 2 2 2 3" xfId="2248"/>
    <cellStyle name="百分比 10 2 2 2 3 2" xfId="2249"/>
    <cellStyle name="百分比 10 2 2 2 4" xfId="2250"/>
    <cellStyle name="百分比 10 2 2 2 5" xfId="2251"/>
    <cellStyle name="百分比 10 2 2 2 6" xfId="2252"/>
    <cellStyle name="百分比 10 2 2 2 7" xfId="2253"/>
    <cellStyle name="百分比 10 2 2 3" xfId="2254"/>
    <cellStyle name="百分比 10 2 2 3 2" xfId="2255"/>
    <cellStyle name="百分比 10 2 2 3 2 2" xfId="2256"/>
    <cellStyle name="百分比 10 2 2 3 3" xfId="2257"/>
    <cellStyle name="百分比 10 2 2 3 4" xfId="2258"/>
    <cellStyle name="百分比 10 2 2 3 5" xfId="2259"/>
    <cellStyle name="百分比 10 2 2 4" xfId="2260"/>
    <cellStyle name="百分比 10 2 2 4 2" xfId="2261"/>
    <cellStyle name="百分比 10 2 2 5" xfId="2262"/>
    <cellStyle name="百分比 10 2 2 5 2" xfId="2263"/>
    <cellStyle name="百分比 10 2 2 6" xfId="2264"/>
    <cellStyle name="百分比 10 2 2 7" xfId="2265"/>
    <cellStyle name="百分比 10 2 2 8" xfId="2266"/>
    <cellStyle name="百分比 10 2 3" xfId="2267"/>
    <cellStyle name="百分比 10 2 3 2" xfId="2268"/>
    <cellStyle name="百分比 10 2 3 2 2" xfId="2269"/>
    <cellStyle name="百分比 10 2 3 3" xfId="2270"/>
    <cellStyle name="百分比 10 2 3 4" xfId="2271"/>
    <cellStyle name="百分比 10 2 4" xfId="2272"/>
    <cellStyle name="百分比 10 2 4 2" xfId="2273"/>
    <cellStyle name="百分比 10 2 4 2 2" xfId="2274"/>
    <cellStyle name="百分比 10 2 4 3" xfId="2275"/>
    <cellStyle name="百分比 10 2 4 4" xfId="2276"/>
    <cellStyle name="百分比 10 2 5" xfId="2277"/>
    <cellStyle name="百分比 10 2 5 2" xfId="2278"/>
    <cellStyle name="百分比 10 2 6" xfId="2279"/>
    <cellStyle name="百分比 10 2 7" xfId="2280"/>
    <cellStyle name="百分比 10 2 8" xfId="2281"/>
    <cellStyle name="百分比 10 3" xfId="2282"/>
    <cellStyle name="百分比 10 3 2" xfId="2283"/>
    <cellStyle name="百分比 10 3 2 2" xfId="2284"/>
    <cellStyle name="百分比 10 3 2 2 2" xfId="2285"/>
    <cellStyle name="百分比 10 3 2 3" xfId="2286"/>
    <cellStyle name="百分比 10 3 2 4" xfId="2287"/>
    <cellStyle name="百分比 10 3 3" xfId="2288"/>
    <cellStyle name="百分比 10 3 3 2" xfId="2289"/>
    <cellStyle name="百分比 10 3 3 2 2" xfId="2290"/>
    <cellStyle name="百分比 10 3 3 3" xfId="2291"/>
    <cellStyle name="百分比 10 3 3 4" xfId="2292"/>
    <cellStyle name="百分比 10 3 4" xfId="2293"/>
    <cellStyle name="百分比 10 3 4 2" xfId="2294"/>
    <cellStyle name="百分比 10 3 5" xfId="2295"/>
    <cellStyle name="百分比 10 3 6" xfId="2296"/>
    <cellStyle name="百分比 10 3 7" xfId="2297"/>
    <cellStyle name="百分比 10 4" xfId="2298"/>
    <cellStyle name="百分比 10 4 2" xfId="2299"/>
    <cellStyle name="百分比 10 4 2 2" xfId="2300"/>
    <cellStyle name="百分比 10 4 3" xfId="2301"/>
    <cellStyle name="百分比 10 4 4" xfId="2302"/>
    <cellStyle name="百分比 10 4 5" xfId="2303"/>
    <cellStyle name="百分比 10 5" xfId="2304"/>
    <cellStyle name="百分比 10 5 2" xfId="2305"/>
    <cellStyle name="百分比 10 5 2 2" xfId="2306"/>
    <cellStyle name="百分比 10 5 3" xfId="2307"/>
    <cellStyle name="百分比 10 5 3 2" xfId="2308"/>
    <cellStyle name="百分比 10 5 4" xfId="2309"/>
    <cellStyle name="百分比 10 5 5" xfId="2310"/>
    <cellStyle name="百分比 10 5 6" xfId="2311"/>
    <cellStyle name="百分比 10 5 7" xfId="2312"/>
    <cellStyle name="百分比 10 6" xfId="2313"/>
    <cellStyle name="百分比 10 6 2" xfId="2314"/>
    <cellStyle name="百分比 10 7" xfId="2315"/>
    <cellStyle name="百分比 10 7 2" xfId="2316"/>
    <cellStyle name="百分比 10 8" xfId="2317"/>
    <cellStyle name="百分比 10 9" xfId="2318"/>
    <cellStyle name="百分比 10 9 2" xfId="2319"/>
    <cellStyle name="百分比 11" xfId="2320"/>
    <cellStyle name="百分比 11 10" xfId="2321"/>
    <cellStyle name="百分比 11 2" xfId="2322"/>
    <cellStyle name="百分比 11 2 2" xfId="2323"/>
    <cellStyle name="百分比 11 2 2 2" xfId="2324"/>
    <cellStyle name="百分比 11 2 2 3" xfId="2325"/>
    <cellStyle name="百分比 11 2 2 4" xfId="2326"/>
    <cellStyle name="百分比 11 2 2 5" xfId="2327"/>
    <cellStyle name="百分比 11 2 2 6" xfId="2328"/>
    <cellStyle name="百分比 11 2 3" xfId="2329"/>
    <cellStyle name="百分比 11 2 4" xfId="2330"/>
    <cellStyle name="百分比 11 2 5" xfId="2331"/>
    <cellStyle name="百分比 11 2 6" xfId="2332"/>
    <cellStyle name="百分比 11 2 7" xfId="2333"/>
    <cellStyle name="百分比 11 2 8" xfId="2334"/>
    <cellStyle name="百分比 11 3" xfId="2335"/>
    <cellStyle name="百分比 11 3 2" xfId="2336"/>
    <cellStyle name="百分比 11 3 2 2" xfId="2337"/>
    <cellStyle name="百分比 11 3 2 3" xfId="2338"/>
    <cellStyle name="百分比 11 3 2 4" xfId="2339"/>
    <cellStyle name="百分比 11 3 2 5" xfId="2340"/>
    <cellStyle name="百分比 11 3 2 6" xfId="2341"/>
    <cellStyle name="百分比 11 3 3" xfId="2342"/>
    <cellStyle name="百分比 11 3 4" xfId="2343"/>
    <cellStyle name="百分比 11 3 5" xfId="2344"/>
    <cellStyle name="百分比 11 3 6" xfId="2345"/>
    <cellStyle name="百分比 11 3 7" xfId="2346"/>
    <cellStyle name="百分比 11 3 8" xfId="2347"/>
    <cellStyle name="百分比 11 4" xfId="2348"/>
    <cellStyle name="百分比 11 4 2" xfId="2349"/>
    <cellStyle name="百分比 11 4 3" xfId="2350"/>
    <cellStyle name="百分比 11 4 4" xfId="2351"/>
    <cellStyle name="百分比 11 4 5" xfId="2352"/>
    <cellStyle name="百分比 11 4 6" xfId="2353"/>
    <cellStyle name="百分比 11 4 7" xfId="2354"/>
    <cellStyle name="百分比 11 5" xfId="2355"/>
    <cellStyle name="百分比 11 5 2" xfId="2356"/>
    <cellStyle name="百分比 11 6" xfId="2357"/>
    <cellStyle name="百分比 11 7" xfId="2358"/>
    <cellStyle name="百分比 11 8" xfId="2359"/>
    <cellStyle name="百分比 11 9" xfId="2360"/>
    <cellStyle name="百分比 12" xfId="2361"/>
    <cellStyle name="百分比 12 2" xfId="2362"/>
    <cellStyle name="百分比 12 2 2" xfId="2363"/>
    <cellStyle name="百分比 12 2 3" xfId="2364"/>
    <cellStyle name="百分比 12 2 4" xfId="2365"/>
    <cellStyle name="百分比 12 2 5" xfId="2366"/>
    <cellStyle name="百分比 12 2 6" xfId="2367"/>
    <cellStyle name="百分比 12 2 7" xfId="2368"/>
    <cellStyle name="百分比 12 3" xfId="2369"/>
    <cellStyle name="百分比 12 3 2" xfId="2370"/>
    <cellStyle name="百分比 12 4" xfId="2371"/>
    <cellStyle name="百分比 12 5" xfId="2372"/>
    <cellStyle name="百分比 12 6" xfId="2373"/>
    <cellStyle name="百分比 12 7" xfId="2374"/>
    <cellStyle name="百分比 12 8" xfId="2375"/>
    <cellStyle name="百分比 13" xfId="2376"/>
    <cellStyle name="百分比 13 2" xfId="2377"/>
    <cellStyle name="百分比 13 2 2" xfId="2378"/>
    <cellStyle name="百分比 13 3" xfId="2379"/>
    <cellStyle name="百分比 13 4" xfId="2380"/>
    <cellStyle name="百分比 13 5" xfId="2381"/>
    <cellStyle name="百分比 13 6" xfId="2382"/>
    <cellStyle name="百分比 14" xfId="2383"/>
    <cellStyle name="百分比 14 2" xfId="2384"/>
    <cellStyle name="百分比 14 2 2" xfId="2385"/>
    <cellStyle name="百分比 14 2 2 2" xfId="2386"/>
    <cellStyle name="百分比 14 2 3" xfId="2387"/>
    <cellStyle name="百分比 14 2 4" xfId="2388"/>
    <cellStyle name="百分比 14 3" xfId="2389"/>
    <cellStyle name="百分比 14 3 2" xfId="2390"/>
    <cellStyle name="百分比 14 4" xfId="2391"/>
    <cellStyle name="百分比 14 5" xfId="2392"/>
    <cellStyle name="百分比 15" xfId="2393"/>
    <cellStyle name="百分比 15 2" xfId="2394"/>
    <cellStyle name="百分比 15 2 2" xfId="2395"/>
    <cellStyle name="百分比 15 2 3" xfId="2396"/>
    <cellStyle name="百分比 15 2 4" xfId="2397"/>
    <cellStyle name="百分比 15 2 5" xfId="2398"/>
    <cellStyle name="百分比 15 2 6" xfId="2399"/>
    <cellStyle name="百分比 15 2 7" xfId="2400"/>
    <cellStyle name="百分比 15 3" xfId="2401"/>
    <cellStyle name="百分比 15 4" xfId="2402"/>
    <cellStyle name="百分比 15 5" xfId="2403"/>
    <cellStyle name="百分比 15 6" xfId="2404"/>
    <cellStyle name="百分比 15 7" xfId="2405"/>
    <cellStyle name="百分比 15 8" xfId="2406"/>
    <cellStyle name="百分比 16" xfId="2407"/>
    <cellStyle name="百分比 17" xfId="2408"/>
    <cellStyle name="百分比 18" xfId="2409"/>
    <cellStyle name="百分比 19" xfId="2410"/>
    <cellStyle name="百分比 2 19" xfId="2411"/>
    <cellStyle name="百分比 2 10" xfId="2412"/>
    <cellStyle name="百分比 2 10 2" xfId="2413"/>
    <cellStyle name="百分比 2 10 2 2" xfId="2414"/>
    <cellStyle name="百分比 2 10 2 2 2" xfId="2415"/>
    <cellStyle name="百分比 2 10 2 3" xfId="2416"/>
    <cellStyle name="百分比 2 10 2 4" xfId="2417"/>
    <cellStyle name="百分比 2 10 3" xfId="2418"/>
    <cellStyle name="百分比 2 10 3 2" xfId="2419"/>
    <cellStyle name="百分比 2 10 4" xfId="2420"/>
    <cellStyle name="百分比 2 10 5" xfId="2421"/>
    <cellStyle name="百分比 2 10 6" xfId="2422"/>
    <cellStyle name="百分比 2 11" xfId="2423"/>
    <cellStyle name="百分比 2 11 2" xfId="2424"/>
    <cellStyle name="百分比 2 11 2 2" xfId="2425"/>
    <cellStyle name="百分比 2 11 3" xfId="2426"/>
    <cellStyle name="百分比 2 11 3 2" xfId="2427"/>
    <cellStyle name="百分比 2 11 4" xfId="2428"/>
    <cellStyle name="百分比 2 11 5" xfId="2429"/>
    <cellStyle name="百分比 2 11 6" xfId="2430"/>
    <cellStyle name="百分比 2 12" xfId="2431"/>
    <cellStyle name="百分比 2 12 2" xfId="2432"/>
    <cellStyle name="百分比 2 12 2 2" xfId="2433"/>
    <cellStyle name="百分比 2 12 3" xfId="2434"/>
    <cellStyle name="百分比 2 12 4" xfId="2435"/>
    <cellStyle name="百分比 2 12 5" xfId="2436"/>
    <cellStyle name="百分比 2 13" xfId="2437"/>
    <cellStyle name="百分比 2 13 2" xfId="2438"/>
    <cellStyle name="百分比 2 13 2 2" xfId="2439"/>
    <cellStyle name="百分比 2 13 3" xfId="2440"/>
    <cellStyle name="百分比 2 13 4" xfId="2441"/>
    <cellStyle name="百分比 2 13 5" xfId="2442"/>
    <cellStyle name="百分比 2 14" xfId="2443"/>
    <cellStyle name="百分比 2 14 2" xfId="2444"/>
    <cellStyle name="百分比 2 15" xfId="2445"/>
    <cellStyle name="百分比 2 16" xfId="2446"/>
    <cellStyle name="百分比 2 17" xfId="2447"/>
    <cellStyle name="百分比 2 18" xfId="2448"/>
    <cellStyle name="百分比 2 2" xfId="2449"/>
    <cellStyle name="百分比 2 2 10" xfId="2450"/>
    <cellStyle name="百分比 2 2 10 2" xfId="2451"/>
    <cellStyle name="百分比 2 2 10 2 2" xfId="2452"/>
    <cellStyle name="百分比 2 2 10 3" xfId="2453"/>
    <cellStyle name="百分比 2 2 10 3 2" xfId="2454"/>
    <cellStyle name="百分比 2 2 10 4" xfId="2455"/>
    <cellStyle name="百分比 2 2 10 5" xfId="2456"/>
    <cellStyle name="百分比 2 2 10 6" xfId="2457"/>
    <cellStyle name="百分比 2 2 10 7" xfId="2458"/>
    <cellStyle name="百分比 2 2 11" xfId="2459"/>
    <cellStyle name="百分比 2 2 11 2" xfId="2460"/>
    <cellStyle name="百分比 2 2 11 2 2" xfId="2461"/>
    <cellStyle name="百分比 2 2 11 3" xfId="2462"/>
    <cellStyle name="百分比 2 2 11 4" xfId="2463"/>
    <cellStyle name="百分比 2 2 11 5" xfId="2464"/>
    <cellStyle name="百分比 2 2 12" xfId="2465"/>
    <cellStyle name="百分比 2 2 12 2" xfId="2466"/>
    <cellStyle name="百分比 2 2 13" xfId="2467"/>
    <cellStyle name="百分比 2 2 13 2" xfId="2468"/>
    <cellStyle name="百分比 2 2 14" xfId="2469"/>
    <cellStyle name="百分比 2 2 15" xfId="2470"/>
    <cellStyle name="百分比 2 2 15 2" xfId="2471"/>
    <cellStyle name="百分比 2 2 16" xfId="2472"/>
    <cellStyle name="百分比 2 2 2" xfId="2473"/>
    <cellStyle name="百分比 2 2 2 10" xfId="2474"/>
    <cellStyle name="百分比 2 2 2 11" xfId="2475"/>
    <cellStyle name="百分比 2 2 2 11 2" xfId="2476"/>
    <cellStyle name="百分比 2 2 2 12" xfId="2477"/>
    <cellStyle name="百分比 2 2 2 2" xfId="2478"/>
    <cellStyle name="百分比 2 2 2 2 10" xfId="2479"/>
    <cellStyle name="百分比 2 2 2 2 11" xfId="2480"/>
    <cellStyle name="百分比 2 2 2 2 2" xfId="2481"/>
    <cellStyle name="百分比 2 2 2 2 2 2" xfId="2482"/>
    <cellStyle name="百分比 2 2 2 2 2 2 2" xfId="2483"/>
    <cellStyle name="百分比 2 2 2 2 2 2 2 2" xfId="2484"/>
    <cellStyle name="百分比 2 2 2 2 2 2 2 2 2" xfId="2485"/>
    <cellStyle name="百分比 2 2 2 2 2 2 2 3" xfId="2486"/>
    <cellStyle name="百分比 2 2 2 2 2 2 2 4" xfId="2487"/>
    <cellStyle name="百分比 2 2 2 2 2 2 2 5" xfId="2488"/>
    <cellStyle name="百分比 2 2 2 2 2 2 3" xfId="2489"/>
    <cellStyle name="百分比 2 2 2 2 2 2 3 2" xfId="2490"/>
    <cellStyle name="百分比 2 2 2 2 2 2 3 2 2" xfId="2491"/>
    <cellStyle name="百分比 2 2 2 2 2 2 3 3" xfId="2492"/>
    <cellStyle name="百分比 2 2 2 2 2 2 3 4" xfId="2493"/>
    <cellStyle name="百分比 2 2 2 2 2 2 3 5" xfId="2494"/>
    <cellStyle name="百分比 2 2 2 2 2 2 4" xfId="2495"/>
    <cellStyle name="百分比 2 2 2 2 2 2 4 2" xfId="2496"/>
    <cellStyle name="百分比 2 2 2 2 2 2 5" xfId="2497"/>
    <cellStyle name="百分比 2 2 2 2 2 2 5 2" xfId="2498"/>
    <cellStyle name="百分比 2 2 2 2 2 2 6" xfId="2499"/>
    <cellStyle name="百分比 2 2 2 2 2 2 7" xfId="2500"/>
    <cellStyle name="百分比 2 2 2 2 2 3" xfId="2501"/>
    <cellStyle name="百分比 2 2 2 2 2 3 2" xfId="2502"/>
    <cellStyle name="百分比 2 2 2 2 2 3 2 2" xfId="2503"/>
    <cellStyle name="百分比 2 2 2 2 2 3 3" xfId="2504"/>
    <cellStyle name="百分比 2 2 2 2 2 3 3 2" xfId="2505"/>
    <cellStyle name="百分比 2 2 2 2 2 3 4" xfId="2506"/>
    <cellStyle name="百分比 2 2 2 2 2 3 5" xfId="2507"/>
    <cellStyle name="百分比 2 2 2 2 2 3 6" xfId="2508"/>
    <cellStyle name="百分比 2 2 2 2 2 3 7" xfId="2509"/>
    <cellStyle name="百分比 2 2 2 2 2 4" xfId="2510"/>
    <cellStyle name="百分比 2 2 2 2 2 4 2" xfId="2511"/>
    <cellStyle name="百分比 2 2 2 2 2 4 2 2" xfId="2512"/>
    <cellStyle name="百分比 2 2 2 2 2 4 3" xfId="2513"/>
    <cellStyle name="百分比 2 2 2 2 2 4 4" xfId="2514"/>
    <cellStyle name="百分比 2 2 2 2 2 4 5" xfId="2515"/>
    <cellStyle name="百分比 2 2 2 2 2 5" xfId="2516"/>
    <cellStyle name="百分比 2 2 2 2 2 5 2" xfId="2517"/>
    <cellStyle name="百分比 2 2 2 2 2 6" xfId="2518"/>
    <cellStyle name="百分比 2 2 2 2 2 6 2" xfId="2519"/>
    <cellStyle name="百分比 2 2 2 2 2 7" xfId="2520"/>
    <cellStyle name="百分比 2 2 2 2 2 8" xfId="2521"/>
    <cellStyle name="百分比 2 2 2 2 2 9" xfId="2522"/>
    <cellStyle name="百分比 2 2 2 2 3" xfId="2523"/>
    <cellStyle name="百分比 2 2 2 2 3 2" xfId="2524"/>
    <cellStyle name="百分比 2 2 2 2 3 2 2" xfId="2525"/>
    <cellStyle name="百分比 2 2 2 2 3 2 2 2" xfId="2526"/>
    <cellStyle name="百分比 2 2 2 2 3 2 3" xfId="2527"/>
    <cellStyle name="百分比 2 2 2 2 3 2 3 2" xfId="2528"/>
    <cellStyle name="百分比 2 2 2 2 3 2 4" xfId="2529"/>
    <cellStyle name="百分比 2 2 2 2 3 2 5" xfId="2530"/>
    <cellStyle name="百分比 2 2 2 2 3 2 6" xfId="2531"/>
    <cellStyle name="百分比 2 2 2 2 3 2 7" xfId="2532"/>
    <cellStyle name="百分比 2 2 2 2 3 3" xfId="2533"/>
    <cellStyle name="百分比 2 2 2 2 3 3 2" xfId="2534"/>
    <cellStyle name="百分比 2 2 2 2 3 3 2 2" xfId="2535"/>
    <cellStyle name="百分比 2 2 2 2 3 3 3" xfId="2536"/>
    <cellStyle name="百分比 2 2 2 2 3 3 4" xfId="2537"/>
    <cellStyle name="百分比 2 2 2 2 3 3 5" xfId="2538"/>
    <cellStyle name="百分比 2 2 2 2 3 4" xfId="2539"/>
    <cellStyle name="百分比 2 2 2 2 3 4 2" xfId="2540"/>
    <cellStyle name="百分比 2 2 2 2 3 5" xfId="2541"/>
    <cellStyle name="百分比 2 2 2 2 3 5 2" xfId="2542"/>
    <cellStyle name="百分比 2 2 2 2 3 6" xfId="2543"/>
    <cellStyle name="百分比 2 2 2 2 3 7" xfId="2544"/>
    <cellStyle name="百分比 2 2 2 2 3 8" xfId="2545"/>
    <cellStyle name="百分比 2 2 2 2 4" xfId="2546"/>
    <cellStyle name="百分比 2 2 2 2 4 2" xfId="2547"/>
    <cellStyle name="百分比 2 2 2 2 4 2 2" xfId="2548"/>
    <cellStyle name="百分比 2 2 2 2 4 3" xfId="2549"/>
    <cellStyle name="百分比 2 2 2 2 4 3 2" xfId="2550"/>
    <cellStyle name="百分比 2 2 2 2 4 4" xfId="2551"/>
    <cellStyle name="百分比 2 2 2 2 4 5" xfId="2552"/>
    <cellStyle name="百分比 2 2 2 2 4 6" xfId="2553"/>
    <cellStyle name="百分比 2 2 2 2 4 7" xfId="2554"/>
    <cellStyle name="百分比 2 2 2 2 5" xfId="2555"/>
    <cellStyle name="百分比 2 2 2 2 5 2" xfId="2556"/>
    <cellStyle name="百分比 2 2 2 2 5 2 2" xfId="2557"/>
    <cellStyle name="百分比 2 2 2 2 5 3" xfId="2558"/>
    <cellStyle name="百分比 2 2 2 2 5 3 2" xfId="2559"/>
    <cellStyle name="百分比 2 2 2 2 5 4" xfId="2560"/>
    <cellStyle name="百分比 2 2 2 2 5 5" xfId="2561"/>
    <cellStyle name="百分比 2 2 2 2 5 6" xfId="2562"/>
    <cellStyle name="百分比 2 2 2 2 5 7" xfId="2563"/>
    <cellStyle name="百分比 2 2 2 2 6" xfId="2564"/>
    <cellStyle name="百分比 2 2 2 2 6 2" xfId="2565"/>
    <cellStyle name="百分比 2 2 2 2 7" xfId="2566"/>
    <cellStyle name="百分比 2 2 2 2 7 2" xfId="2567"/>
    <cellStyle name="百分比 2 2 2 2 8" xfId="2568"/>
    <cellStyle name="百分比 2 2 2 2 9" xfId="2569"/>
    <cellStyle name="百分比 2 2 2 2 9 2" xfId="2570"/>
    <cellStyle name="百分比 2 2 2 3" xfId="2571"/>
    <cellStyle name="百分比 2 2 2 3 2" xfId="2572"/>
    <cellStyle name="百分比 2 2 2 3 2 2" xfId="2573"/>
    <cellStyle name="百分比 2 2 2 3 2 2 2" xfId="2574"/>
    <cellStyle name="百分比 2 2 2 3 2 2 2 2" xfId="2575"/>
    <cellStyle name="百分比 2 2 2 3 2 2 2 2 2" xfId="2576"/>
    <cellStyle name="百分比 2 2 2 3 2 2 2 3" xfId="2577"/>
    <cellStyle name="百分比 2 2 2 3 2 2 2 4" xfId="2578"/>
    <cellStyle name="百分比 2 2 2 3 2 2 3" xfId="2579"/>
    <cellStyle name="百分比 2 2 2 3 2 2 3 2" xfId="2580"/>
    <cellStyle name="百分比 2 2 2 3 2 2 4" xfId="2581"/>
    <cellStyle name="百分比 2 2 2 3 2 2 5" xfId="2582"/>
    <cellStyle name="百分比 2 2 2 3 2 3" xfId="2583"/>
    <cellStyle name="百分比 2 2 2 3 2 3 2" xfId="2584"/>
    <cellStyle name="百分比 2 2 2 3 2 3 2 2" xfId="2585"/>
    <cellStyle name="百分比 2 2 2 3 2 3 3" xfId="2586"/>
    <cellStyle name="百分比 2 2 2 3 2 3 4" xfId="2587"/>
    <cellStyle name="百分比 2 2 2 3 2 4" xfId="2588"/>
    <cellStyle name="百分比 2 2 2 3 2 4 2" xfId="2589"/>
    <cellStyle name="百分比 2 2 2 3 2 5" xfId="2590"/>
    <cellStyle name="百分比 2 2 2 3 2 6" xfId="2591"/>
    <cellStyle name="百分比 2 2 2 3 3" xfId="2592"/>
    <cellStyle name="百分比 2 2 2 3 3 2" xfId="2593"/>
    <cellStyle name="百分比 2 2 2 3 3 2 2" xfId="2594"/>
    <cellStyle name="百分比 2 2 2 3 3 2 2 2" xfId="2595"/>
    <cellStyle name="百分比 2 2 2 3 3 2 3" xfId="2596"/>
    <cellStyle name="百分比 2 2 2 3 3 2 4" xfId="2597"/>
    <cellStyle name="百分比 2 2 2 3 3 2 5" xfId="2598"/>
    <cellStyle name="百分比 2 2 2 3 3 3" xfId="2599"/>
    <cellStyle name="百分比 2 2 2 3 3 3 2" xfId="2600"/>
    <cellStyle name="百分比 2 2 2 3 3 3 2 2" xfId="2601"/>
    <cellStyle name="百分比 2 2 2 3 3 3 3" xfId="2602"/>
    <cellStyle name="百分比 2 2 2 3 3 3 4" xfId="2603"/>
    <cellStyle name="百分比 2 2 2 3 3 3 5" xfId="2604"/>
    <cellStyle name="百分比 2 2 2 3 3 4" xfId="2605"/>
    <cellStyle name="百分比 2 2 2 3 3 4 2" xfId="2606"/>
    <cellStyle name="百分比 2 2 2 3 3 5" xfId="2607"/>
    <cellStyle name="百分比 2 2 2 3 3 5 2" xfId="2608"/>
    <cellStyle name="百分比 2 2 2 3 3 6" xfId="2609"/>
    <cellStyle name="百分比 2 2 2 3 3 7" xfId="2610"/>
    <cellStyle name="百分比 2 2 2 3 4" xfId="2611"/>
    <cellStyle name="百分比 2 2 2 3 4 2" xfId="2612"/>
    <cellStyle name="百分比 2 2 2 3 4 2 2" xfId="2613"/>
    <cellStyle name="百分比 2 2 2 3 4 3" xfId="2614"/>
    <cellStyle name="百分比 2 2 2 3 4 3 2" xfId="2615"/>
    <cellStyle name="百分比 2 2 2 3 4 4" xfId="2616"/>
    <cellStyle name="百分比 2 2 2 3 4 5" xfId="2617"/>
    <cellStyle name="百分比 2 2 2 3 4 6" xfId="2618"/>
    <cellStyle name="百分比 2 2 2 3 4 7" xfId="2619"/>
    <cellStyle name="百分比 2 2 2 3 5" xfId="2620"/>
    <cellStyle name="百分比 2 2 2 3 5 2" xfId="2621"/>
    <cellStyle name="百分比 2 2 2 3 5 2 2" xfId="2622"/>
    <cellStyle name="百分比 2 2 2 3 5 3" xfId="2623"/>
    <cellStyle name="百分比 2 2 2 3 5 4" xfId="2624"/>
    <cellStyle name="百分比 2 2 2 3 5 5" xfId="2625"/>
    <cellStyle name="百分比 2 2 2 3 6" xfId="2626"/>
    <cellStyle name="百分比 2 2 2 3 6 2" xfId="2627"/>
    <cellStyle name="百分比 2 2 2 3 7" xfId="2628"/>
    <cellStyle name="百分比 2 2 2 3 7 2" xfId="2629"/>
    <cellStyle name="百分比 2 2 2 3 8" xfId="2630"/>
    <cellStyle name="百分比 2 2 2 3 9" xfId="2631"/>
    <cellStyle name="百分比 2 2 2 3 9 2" xfId="2632"/>
    <cellStyle name="百分比 2 2 2 4" xfId="2633"/>
    <cellStyle name="百分比 2 2 2 4 2" xfId="2634"/>
    <cellStyle name="百分比 2 2 2 4 2 2" xfId="2635"/>
    <cellStyle name="百分比 2 2 2 4 2 2 2" xfId="2636"/>
    <cellStyle name="百分比 2 2 2 4 2 2 2 2" xfId="2637"/>
    <cellStyle name="百分比 2 2 2 4 2 2 3" xfId="2638"/>
    <cellStyle name="百分比 2 2 2 4 2 2 4" xfId="2639"/>
    <cellStyle name="百分比 2 2 2 4 2 3" xfId="2640"/>
    <cellStyle name="百分比 2 2 2 4 2 3 2" xfId="2641"/>
    <cellStyle name="百分比 2 2 2 4 2 3 2 2" xfId="2642"/>
    <cellStyle name="百分比 2 2 2 4 2 3 3" xfId="2643"/>
    <cellStyle name="百分比 2 2 2 4 2 3 4" xfId="2644"/>
    <cellStyle name="百分比 2 2 2 4 2 4" xfId="2645"/>
    <cellStyle name="百分比 2 2 2 4 2 4 2" xfId="2646"/>
    <cellStyle name="百分比 2 2 2 4 2 5" xfId="2647"/>
    <cellStyle name="百分比 2 2 2 4 2 6" xfId="2648"/>
    <cellStyle name="百分比 2 2 2 4 3" xfId="2649"/>
    <cellStyle name="百分比 2 2 2 4 3 2" xfId="2650"/>
    <cellStyle name="百分比 2 2 2 4 3 2 2" xfId="2651"/>
    <cellStyle name="百分比 2 2 2 4 3 3" xfId="2652"/>
    <cellStyle name="百分比 2 2 2 4 3 4" xfId="2653"/>
    <cellStyle name="百分比 2 2 2 4 4" xfId="2654"/>
    <cellStyle name="百分比 2 2 2 4 4 2" xfId="2655"/>
    <cellStyle name="百分比 2 2 2 4 4 2 2" xfId="2656"/>
    <cellStyle name="百分比 2 2 2 4 4 3" xfId="2657"/>
    <cellStyle name="百分比 2 2 2 4 4 4" xfId="2658"/>
    <cellStyle name="百分比 2 2 2 4 5" xfId="2659"/>
    <cellStyle name="百分比 2 2 2 4 5 2" xfId="2660"/>
    <cellStyle name="百分比 2 2 2 4 6" xfId="2661"/>
    <cellStyle name="百分比 2 2 2 4 7" xfId="2662"/>
    <cellStyle name="百分比 2 2 2 4 8" xfId="2663"/>
    <cellStyle name="百分比 2 2 2 5" xfId="2664"/>
    <cellStyle name="百分比 2 2 2 5 2" xfId="2665"/>
    <cellStyle name="百分比 2 2 2 5 2 2" xfId="2666"/>
    <cellStyle name="百分比 2 2 2 5 2 2 2" xfId="2667"/>
    <cellStyle name="百分比 2 2 2 5 2 2 2 2" xfId="2668"/>
    <cellStyle name="百分比 2 2 2 5 2 2 3" xfId="2669"/>
    <cellStyle name="百分比 2 2 2 5 2 2 4" xfId="2670"/>
    <cellStyle name="百分比 2 2 2 5 2 3" xfId="2671"/>
    <cellStyle name="百分比 2 2 2 5 2 3 2" xfId="2672"/>
    <cellStyle name="百分比 2 2 2 5 2 4" xfId="2673"/>
    <cellStyle name="百分比 2 2 2 5 2 5" xfId="2674"/>
    <cellStyle name="百分比 2 2 2 5 3" xfId="2675"/>
    <cellStyle name="百分比 2 2 2 5 3 2" xfId="2676"/>
    <cellStyle name="百分比 2 2 2 5 3 2 2" xfId="2677"/>
    <cellStyle name="百分比 2 2 2 5 3 3" xfId="2678"/>
    <cellStyle name="百分比 2 2 2 5 3 4" xfId="2679"/>
    <cellStyle name="百分比 2 2 2 5 4" xfId="2680"/>
    <cellStyle name="百分比 2 2 2 5 4 2" xfId="2681"/>
    <cellStyle name="百分比 2 2 2 5 5" xfId="2682"/>
    <cellStyle name="百分比 2 2 2 5 6" xfId="2683"/>
    <cellStyle name="百分比 2 2 2 6" xfId="2684"/>
    <cellStyle name="百分比 2 2 2 6 2" xfId="2685"/>
    <cellStyle name="百分比 2 2 2 6 2 2" xfId="2686"/>
    <cellStyle name="百分比 2 2 2 6 2 2 2" xfId="2687"/>
    <cellStyle name="百分比 2 2 2 6 2 3" xfId="2688"/>
    <cellStyle name="百分比 2 2 2 6 2 4" xfId="2689"/>
    <cellStyle name="百分比 2 2 2 6 2 5" xfId="2690"/>
    <cellStyle name="百分比 2 2 2 6 3" xfId="2691"/>
    <cellStyle name="百分比 2 2 2 6 3 2" xfId="2692"/>
    <cellStyle name="百分比 2 2 2 6 4" xfId="2693"/>
    <cellStyle name="百分比 2 2 2 6 4 2" xfId="2694"/>
    <cellStyle name="百分比 2 2 2 6 5" xfId="2695"/>
    <cellStyle name="百分比 2 2 2 6 6" xfId="2696"/>
    <cellStyle name="百分比 2 2 2 6 7" xfId="2697"/>
    <cellStyle name="百分比 2 2 2 7" xfId="2698"/>
    <cellStyle name="百分比 2 2 2 7 2" xfId="2699"/>
    <cellStyle name="百分比 2 2 2 7 2 2" xfId="2700"/>
    <cellStyle name="百分比 2 2 2 7 3" xfId="2701"/>
    <cellStyle name="百分比 2 2 2 7 3 2" xfId="2702"/>
    <cellStyle name="百分比 2 2 2 7 4" xfId="2703"/>
    <cellStyle name="百分比 2 2 2 7 5" xfId="2704"/>
    <cellStyle name="百分比 2 2 2 7 6" xfId="2705"/>
    <cellStyle name="百分比 2 2 2 7 7" xfId="2706"/>
    <cellStyle name="百分比 2 2 2 8" xfId="2707"/>
    <cellStyle name="百分比 2 2 2 8 2" xfId="2708"/>
    <cellStyle name="百分比 2 2 2 9" xfId="2709"/>
    <cellStyle name="百分比 2 2 2 9 2" xfId="2710"/>
    <cellStyle name="百分比 2 2 3" xfId="2711"/>
    <cellStyle name="百分比 2 2 3 10" xfId="2712"/>
    <cellStyle name="百分比 2 2 3 11" xfId="2713"/>
    <cellStyle name="百分比 2 2 3 2" xfId="2714"/>
    <cellStyle name="百分比 2 2 3 2 10" xfId="2715"/>
    <cellStyle name="百分比 2 2 3 2 2" xfId="2716"/>
    <cellStyle name="百分比 2 2 3 2 2 2" xfId="2717"/>
    <cellStyle name="百分比 2 2 3 2 2 2 2" xfId="2718"/>
    <cellStyle name="百分比 2 2 3 2 2 2 2 2" xfId="2719"/>
    <cellStyle name="百分比 2 2 3 2 2 2 2 2 2" xfId="2720"/>
    <cellStyle name="百分比 2 2 3 2 2 2 2 3" xfId="2721"/>
    <cellStyle name="百分比 2 2 3 2 2 2 2 4" xfId="2722"/>
    <cellStyle name="百分比 2 2 3 2 2 2 3" xfId="2723"/>
    <cellStyle name="百分比 2 2 3 2 2 2 3 2" xfId="2724"/>
    <cellStyle name="百分比 2 2 3 2 2 2 4" xfId="2725"/>
    <cellStyle name="百分比 2 2 3 2 2 2 5" xfId="2726"/>
    <cellStyle name="百分比 2 2 3 2 2 2 6" xfId="2727"/>
    <cellStyle name="百分比 2 2 3 2 2 3" xfId="2728"/>
    <cellStyle name="百分比 2 2 3 2 2 3 2" xfId="2729"/>
    <cellStyle name="百分比 2 2 3 2 2 3 2 2" xfId="2730"/>
    <cellStyle name="百分比 2 2 3 2 2 3 3" xfId="2731"/>
    <cellStyle name="百分比 2 2 3 2 2 3 4" xfId="2732"/>
    <cellStyle name="百分比 2 2 3 2 2 3 5" xfId="2733"/>
    <cellStyle name="百分比 2 2 3 2 2 4" xfId="2734"/>
    <cellStyle name="百分比 2 2 3 2 2 4 2" xfId="2735"/>
    <cellStyle name="百分比 2 2 3 2 2 5" xfId="2736"/>
    <cellStyle name="百分比 2 2 3 2 2 5 2" xfId="2737"/>
    <cellStyle name="百分比 2 2 3 2 2 6" xfId="2738"/>
    <cellStyle name="百分比 2 2 3 2 2 7" xfId="2739"/>
    <cellStyle name="百分比 2 2 3 2 3" xfId="2740"/>
    <cellStyle name="百分比 2 2 3 2 3 2" xfId="2741"/>
    <cellStyle name="百分比 2 2 3 2 3 2 2" xfId="2742"/>
    <cellStyle name="百分比 2 2 3 2 3 2 2 2" xfId="2743"/>
    <cellStyle name="百分比 2 2 3 2 3 2 3" xfId="2744"/>
    <cellStyle name="百分比 2 2 3 2 3 2 4" xfId="2745"/>
    <cellStyle name="百分比 2 2 3 2 3 2 5" xfId="2746"/>
    <cellStyle name="百分比 2 2 3 2 3 3" xfId="2747"/>
    <cellStyle name="百分比 2 2 3 2 3 3 2" xfId="2748"/>
    <cellStyle name="百分比 2 2 3 2 3 3 2 2" xfId="2749"/>
    <cellStyle name="百分比 2 2 3 2 3 3 3" xfId="2750"/>
    <cellStyle name="百分比 2 2 3 2 3 3 4" xfId="2751"/>
    <cellStyle name="百分比 2 2 3 2 3 3 5" xfId="2752"/>
    <cellStyle name="百分比 2 2 3 2 3 4" xfId="2753"/>
    <cellStyle name="百分比 2 2 3 2 3 4 2" xfId="2754"/>
    <cellStyle name="百分比 2 2 3 2 3 5" xfId="2755"/>
    <cellStyle name="百分比 2 2 3 2 3 5 2" xfId="2756"/>
    <cellStyle name="百分比 2 2 3 2 3 6" xfId="2757"/>
    <cellStyle name="百分比 2 2 3 2 3 7" xfId="2758"/>
    <cellStyle name="百分比 2 2 3 2 4" xfId="2759"/>
    <cellStyle name="百分比 2 2 3 2 4 2" xfId="2760"/>
    <cellStyle name="百分比 2 2 3 2 4 2 2" xfId="2761"/>
    <cellStyle name="百分比 2 2 3 2 4 3" xfId="2762"/>
    <cellStyle name="百分比 2 2 3 2 4 3 2" xfId="2763"/>
    <cellStyle name="百分比 2 2 3 2 4 4" xfId="2764"/>
    <cellStyle name="百分比 2 2 3 2 4 5" xfId="2765"/>
    <cellStyle name="百分比 2 2 3 2 4 6" xfId="2766"/>
    <cellStyle name="百分比 2 2 3 2 4 7" xfId="2767"/>
    <cellStyle name="百分比 2 2 3 2 5" xfId="2768"/>
    <cellStyle name="百分比 2 2 3 2 5 2" xfId="2769"/>
    <cellStyle name="百分比 2 2 3 2 5 2 2" xfId="2770"/>
    <cellStyle name="百分比 2 2 3 2 5 3" xfId="2771"/>
    <cellStyle name="百分比 2 2 3 2 5 4" xfId="2772"/>
    <cellStyle name="百分比 2 2 3 2 5 5" xfId="2773"/>
    <cellStyle name="百分比 2 2 3 2 6" xfId="2774"/>
    <cellStyle name="百分比 2 2 3 2 6 2" xfId="2775"/>
    <cellStyle name="百分比 2 2 3 2 7" xfId="2776"/>
    <cellStyle name="百分比 2 2 3 2 7 2" xfId="2777"/>
    <cellStyle name="百分比 2 2 3 2 8" xfId="2778"/>
    <cellStyle name="百分比 2 2 3 2 9" xfId="2779"/>
    <cellStyle name="百分比 2 2 3 3" xfId="2780"/>
    <cellStyle name="百分比 2 2 3 3 2" xfId="2781"/>
    <cellStyle name="百分比 2 2 3 3 2 2" xfId="2782"/>
    <cellStyle name="百分比 2 2 3 3 2 2 2" xfId="2783"/>
    <cellStyle name="百分比 2 2 3 3 2 2 2 2" xfId="2784"/>
    <cellStyle name="百分比 2 2 3 3 2 2 3" xfId="2785"/>
    <cellStyle name="百分比 2 2 3 3 2 2 4" xfId="2786"/>
    <cellStyle name="百分比 2 2 3 3 2 2 5" xfId="2787"/>
    <cellStyle name="百分比 2 2 3 3 2 3" xfId="2788"/>
    <cellStyle name="百分比 2 2 3 3 2 3 2" xfId="2789"/>
    <cellStyle name="百分比 2 2 3 3 2 3 2 2" xfId="2790"/>
    <cellStyle name="百分比 2 2 3 3 2 3 3" xfId="2791"/>
    <cellStyle name="百分比 2 2 3 3 2 3 4" xfId="2792"/>
    <cellStyle name="百分比 2 2 3 3 2 3 5" xfId="2793"/>
    <cellStyle name="百分比 2 2 3 3 2 4" xfId="2794"/>
    <cellStyle name="百分比 2 2 3 3 2 4 2" xfId="2795"/>
    <cellStyle name="百分比 2 2 3 3 2 5" xfId="2796"/>
    <cellStyle name="百分比 2 2 3 3 2 5 2" xfId="2797"/>
    <cellStyle name="百分比 2 2 3 3 2 6" xfId="2798"/>
    <cellStyle name="百分比 2 2 3 3 2 7" xfId="2799"/>
    <cellStyle name="百分比 2 2 3 3 3" xfId="2800"/>
    <cellStyle name="百分比 2 2 3 3 3 2" xfId="2801"/>
    <cellStyle name="百分比 2 2 3 3 3 2 2" xfId="2802"/>
    <cellStyle name="百分比 2 2 3 3 3 3" xfId="2803"/>
    <cellStyle name="百分比 2 2 3 3 3 3 2" xfId="2804"/>
    <cellStyle name="百分比 2 2 3 3 3 4" xfId="2805"/>
    <cellStyle name="百分比 2 2 3 3 3 5" xfId="2806"/>
    <cellStyle name="百分比 2 2 3 3 3 6" xfId="2807"/>
    <cellStyle name="百分比 2 2 3 3 3 7" xfId="2808"/>
    <cellStyle name="百分比 2 2 3 3 4" xfId="2809"/>
    <cellStyle name="百分比 2 2 3 3 4 2" xfId="2810"/>
    <cellStyle name="百分比 2 2 3 3 4 2 2" xfId="2811"/>
    <cellStyle name="百分比 2 2 3 3 4 3" xfId="2812"/>
    <cellStyle name="百分比 2 2 3 3 4 4" xfId="2813"/>
    <cellStyle name="百分比 2 2 3 3 4 5" xfId="2814"/>
    <cellStyle name="百分比 2 2 3 3 5" xfId="2815"/>
    <cellStyle name="百分比 2 2 3 3 5 2" xfId="2816"/>
    <cellStyle name="百分比 2 2 3 3 6" xfId="2817"/>
    <cellStyle name="百分比 2 2 3 3 6 2" xfId="2818"/>
    <cellStyle name="百分比 2 2 3 3 7" xfId="2819"/>
    <cellStyle name="百分比 2 2 3 3 8" xfId="2820"/>
    <cellStyle name="百分比 2 2 3 3 9" xfId="2821"/>
    <cellStyle name="百分比 2 2 3 4" xfId="2822"/>
    <cellStyle name="百分比 2 2 3 4 2" xfId="2823"/>
    <cellStyle name="百分比 2 2 3 4 2 2" xfId="2824"/>
    <cellStyle name="百分比 2 2 3 4 2 2 2" xfId="2825"/>
    <cellStyle name="百分比 2 2 3 4 2 3" xfId="2826"/>
    <cellStyle name="百分比 2 2 3 4 2 4" xfId="2827"/>
    <cellStyle name="百分比 2 2 3 4 2 5" xfId="2828"/>
    <cellStyle name="百分比 2 2 3 4 3" xfId="2829"/>
    <cellStyle name="百分比 2 2 3 4 3 2" xfId="2830"/>
    <cellStyle name="百分比 2 2 3 4 3 2 2" xfId="2831"/>
    <cellStyle name="百分比 2 2 3 4 3 3" xfId="2832"/>
    <cellStyle name="百分比 2 2 3 4 3 4" xfId="2833"/>
    <cellStyle name="百分比 2 2 3 4 3 5" xfId="2834"/>
    <cellStyle name="百分比 2 2 3 4 4" xfId="2835"/>
    <cellStyle name="百分比 2 2 3 4 4 2" xfId="2836"/>
    <cellStyle name="百分比 2 2 3 4 5" xfId="2837"/>
    <cellStyle name="百分比 2 2 3 4 5 2" xfId="2838"/>
    <cellStyle name="百分比 2 2 3 4 6" xfId="2839"/>
    <cellStyle name="百分比 2 2 3 4 7" xfId="2840"/>
    <cellStyle name="百分比 2 2 3 5" xfId="2841"/>
    <cellStyle name="百分比 2 2 3 5 2" xfId="2842"/>
    <cellStyle name="百分比 2 2 3 5 2 2" xfId="2843"/>
    <cellStyle name="百分比 2 2 3 5 3" xfId="2844"/>
    <cellStyle name="百分比 2 2 3 5 3 2" xfId="2845"/>
    <cellStyle name="百分比 2 2 3 5 4" xfId="2846"/>
    <cellStyle name="百分比 2 2 3 5 5" xfId="2847"/>
    <cellStyle name="百分比 2 2 3 5 6" xfId="2848"/>
    <cellStyle name="百分比 2 2 3 5 7" xfId="2849"/>
    <cellStyle name="百分比 2 2 3 6" xfId="2850"/>
    <cellStyle name="百分比 2 2 3 6 2" xfId="2851"/>
    <cellStyle name="百分比 2 2 3 6 2 2" xfId="2852"/>
    <cellStyle name="百分比 2 2 3 6 3" xfId="2853"/>
    <cellStyle name="百分比 2 2 3 6 4" xfId="2854"/>
    <cellStyle name="百分比 2 2 3 6 5" xfId="2855"/>
    <cellStyle name="百分比 2 2 3 7" xfId="2856"/>
    <cellStyle name="百分比 2 2 3 7 2" xfId="2857"/>
    <cellStyle name="百分比 2 2 3 8" xfId="2858"/>
    <cellStyle name="百分比 2 2 3 8 2" xfId="2859"/>
    <cellStyle name="百分比 2 2 3 9" xfId="2860"/>
    <cellStyle name="百分比 2 2 4" xfId="2861"/>
    <cellStyle name="百分比 2 2 4 10" xfId="2862"/>
    <cellStyle name="百分比 2 2 4 11" xfId="2863"/>
    <cellStyle name="百分比 2 2 4 2" xfId="2864"/>
    <cellStyle name="百分比 2 2 4 2 2" xfId="2865"/>
    <cellStyle name="百分比 2 2 4 2 2 2" xfId="2866"/>
    <cellStyle name="百分比 2 2 4 2 2 2 2" xfId="2867"/>
    <cellStyle name="百分比 2 2 4 2 2 2 2 2" xfId="2868"/>
    <cellStyle name="百分比 2 2 4 2 2 2 3" xfId="2869"/>
    <cellStyle name="百分比 2 2 4 2 2 2 4" xfId="2870"/>
    <cellStyle name="百分比 2 2 4 2 2 2 5" xfId="2871"/>
    <cellStyle name="百分比 2 2 4 2 2 3" xfId="2872"/>
    <cellStyle name="百分比 2 2 4 2 2 3 2" xfId="2873"/>
    <cellStyle name="百分比 2 2 4 2 2 3 2 2" xfId="2874"/>
    <cellStyle name="百分比 2 2 4 2 2 3 3" xfId="2875"/>
    <cellStyle name="百分比 2 2 4 2 2 3 4" xfId="2876"/>
    <cellStyle name="百分比 2 2 4 2 2 3 5" xfId="2877"/>
    <cellStyle name="百分比 2 2 4 2 2 4" xfId="2878"/>
    <cellStyle name="百分比 2 2 4 2 2 4 2" xfId="2879"/>
    <cellStyle name="百分比 2 2 4 2 2 5" xfId="2880"/>
    <cellStyle name="百分比 2 2 4 2 2 5 2" xfId="2881"/>
    <cellStyle name="百分比 2 2 4 2 2 6" xfId="2882"/>
    <cellStyle name="百分比 2 2 4 2 2 7" xfId="2883"/>
    <cellStyle name="百分比 2 2 4 2 3" xfId="2884"/>
    <cellStyle name="百分比 2 2 4 2 3 2" xfId="2885"/>
    <cellStyle name="百分比 2 2 4 2 3 2 2" xfId="2886"/>
    <cellStyle name="百分比 2 2 4 2 3 3" xfId="2887"/>
    <cellStyle name="百分比 2 2 4 2 3 3 2" xfId="2888"/>
    <cellStyle name="百分比 2 2 4 2 3 4" xfId="2889"/>
    <cellStyle name="百分比 2 2 4 2 3 5" xfId="2890"/>
    <cellStyle name="百分比 2 2 4 2 3 6" xfId="2891"/>
    <cellStyle name="百分比 2 2 4 2 3 7" xfId="2892"/>
    <cellStyle name="百分比 2 2 4 2 4" xfId="2893"/>
    <cellStyle name="百分比 2 2 4 2 4 2" xfId="2894"/>
    <cellStyle name="百分比 2 2 4 2 4 2 2" xfId="2895"/>
    <cellStyle name="百分比 2 2 4 2 4 3" xfId="2896"/>
    <cellStyle name="百分比 2 2 4 2 4 4" xfId="2897"/>
    <cellStyle name="百分比 2 2 4 2 4 5" xfId="2898"/>
    <cellStyle name="百分比 2 2 4 2 5" xfId="2899"/>
    <cellStyle name="百分比 2 2 4 2 5 2" xfId="2900"/>
    <cellStyle name="百分比 2 2 4 2 6" xfId="2901"/>
    <cellStyle name="百分比 2 2 4 2 6 2" xfId="2902"/>
    <cellStyle name="百分比 2 2 4 2 7" xfId="2903"/>
    <cellStyle name="百分比 2 2 4 2 8" xfId="2904"/>
    <cellStyle name="百分比 2 2 4 2 9" xfId="2905"/>
    <cellStyle name="百分比 2 2 4 3" xfId="2906"/>
    <cellStyle name="百分比 2 2 4 3 2" xfId="2907"/>
    <cellStyle name="百分比 2 2 4 3 2 2" xfId="2908"/>
    <cellStyle name="百分比 2 2 4 3 2 2 2" xfId="2909"/>
    <cellStyle name="百分比 2 2 4 3 2 3" xfId="2910"/>
    <cellStyle name="百分比 2 2 4 3 2 3 2" xfId="2911"/>
    <cellStyle name="百分比 2 2 4 3 2 4" xfId="2912"/>
    <cellStyle name="百分比 2 2 4 3 2 5" xfId="2913"/>
    <cellStyle name="百分比 2 2 4 3 2 6" xfId="2914"/>
    <cellStyle name="百分比 2 2 4 3 2 7" xfId="2915"/>
    <cellStyle name="百分比 2 2 4 3 3" xfId="2916"/>
    <cellStyle name="百分比 2 2 4 3 3 2" xfId="2917"/>
    <cellStyle name="百分比 2 2 4 3 3 2 2" xfId="2918"/>
    <cellStyle name="百分比 2 2 4 3 3 3" xfId="2919"/>
    <cellStyle name="百分比 2 2 4 3 3 4" xfId="2920"/>
    <cellStyle name="百分比 2 2 4 3 3 5" xfId="2921"/>
    <cellStyle name="百分比 2 2 4 3 4" xfId="2922"/>
    <cellStyle name="百分比 2 2 4 3 4 2" xfId="2923"/>
    <cellStyle name="百分比 2 2 4 3 5" xfId="2924"/>
    <cellStyle name="百分比 2 2 4 3 5 2" xfId="2925"/>
    <cellStyle name="百分比 2 2 4 3 6" xfId="2926"/>
    <cellStyle name="百分比 2 2 4 3 7" xfId="2927"/>
    <cellStyle name="百分比 2 2 4 3 8" xfId="2928"/>
    <cellStyle name="百分比 2 2 4 4" xfId="2929"/>
    <cellStyle name="百分比 2 2 4 4 2" xfId="2930"/>
    <cellStyle name="百分比 2 2 4 4 2 2" xfId="2931"/>
    <cellStyle name="百分比 2 2 4 4 3" xfId="2932"/>
    <cellStyle name="百分比 2 2 4 4 3 2" xfId="2933"/>
    <cellStyle name="百分比 2 2 4 4 4" xfId="2934"/>
    <cellStyle name="百分比 2 2 4 4 5" xfId="2935"/>
    <cellStyle name="百分比 2 2 4 4 6" xfId="2936"/>
    <cellStyle name="百分比 2 2 4 4 7" xfId="2937"/>
    <cellStyle name="百分比 2 2 4 5" xfId="2938"/>
    <cellStyle name="百分比 2 2 4 5 2" xfId="2939"/>
    <cellStyle name="百分比 2 2 4 5 2 2" xfId="2940"/>
    <cellStyle name="百分比 2 2 4 5 3" xfId="2941"/>
    <cellStyle name="百分比 2 2 4 5 3 2" xfId="2942"/>
    <cellStyle name="百分比 2 2 4 5 4" xfId="2943"/>
    <cellStyle name="百分比 2 2 4 5 5" xfId="2944"/>
    <cellStyle name="百分比 2 2 4 5 6" xfId="2945"/>
    <cellStyle name="百分比 2 2 4 5 7" xfId="2946"/>
    <cellStyle name="百分比 2 2 4 6" xfId="2947"/>
    <cellStyle name="百分比 2 2 4 6 2" xfId="2948"/>
    <cellStyle name="百分比 2 2 4 7" xfId="2949"/>
    <cellStyle name="百分比 2 2 4 7 2" xfId="2950"/>
    <cellStyle name="百分比 2 2 4 8" xfId="2951"/>
    <cellStyle name="百分比 2 2 4 9" xfId="2952"/>
    <cellStyle name="百分比 2 2 4 9 2" xfId="2953"/>
    <cellStyle name="百分比 2 2 5" xfId="2954"/>
    <cellStyle name="百分比 2 2 5 10" xfId="2955"/>
    <cellStyle name="百分比 2 2 5 2" xfId="2956"/>
    <cellStyle name="百分比 2 2 5 2 2" xfId="2957"/>
    <cellStyle name="百分比 2 2 5 2 2 2" xfId="2958"/>
    <cellStyle name="百分比 2 2 5 2 2 2 2" xfId="2959"/>
    <cellStyle name="百分比 2 2 5 2 2 2 2 2" xfId="2960"/>
    <cellStyle name="百分比 2 2 5 2 2 2 3" xfId="2961"/>
    <cellStyle name="百分比 2 2 5 2 2 2 4" xfId="2962"/>
    <cellStyle name="百分比 2 2 5 2 2 3" xfId="2963"/>
    <cellStyle name="百分比 2 2 5 2 2 3 2" xfId="2964"/>
    <cellStyle name="百分比 2 2 5 2 2 4" xfId="2965"/>
    <cellStyle name="百分比 2 2 5 2 2 5" xfId="2966"/>
    <cellStyle name="百分比 2 2 5 2 3" xfId="2967"/>
    <cellStyle name="百分比 2 2 5 2 3 2" xfId="2968"/>
    <cellStyle name="百分比 2 2 5 2 3 2 2" xfId="2969"/>
    <cellStyle name="百分比 2 2 5 2 3 3" xfId="2970"/>
    <cellStyle name="百分比 2 2 5 2 3 4" xfId="2971"/>
    <cellStyle name="百分比 2 2 5 2 4" xfId="2972"/>
    <cellStyle name="百分比 2 2 5 2 4 2" xfId="2973"/>
    <cellStyle name="百分比 2 2 5 2 5" xfId="2974"/>
    <cellStyle name="百分比 2 2 5 2 6" xfId="2975"/>
    <cellStyle name="百分比 2 2 5 2 7" xfId="2976"/>
    <cellStyle name="百分比 2 2 5 3" xfId="2977"/>
    <cellStyle name="百分比 2 2 5 3 2" xfId="2978"/>
    <cellStyle name="百分比 2 2 5 3 2 2" xfId="2979"/>
    <cellStyle name="百分比 2 2 5 3 2 2 2" xfId="2980"/>
    <cellStyle name="百分比 2 2 5 3 2 3" xfId="2981"/>
    <cellStyle name="百分比 2 2 5 3 2 4" xfId="2982"/>
    <cellStyle name="百分比 2 2 5 3 2 5" xfId="2983"/>
    <cellStyle name="百分比 2 2 5 3 3" xfId="2984"/>
    <cellStyle name="百分比 2 2 5 3 3 2" xfId="2985"/>
    <cellStyle name="百分比 2 2 5 3 3 2 2" xfId="2986"/>
    <cellStyle name="百分比 2 2 5 3 3 3" xfId="2987"/>
    <cellStyle name="百分比 2 2 5 3 3 4" xfId="2988"/>
    <cellStyle name="百分比 2 2 5 3 3 5" xfId="2989"/>
    <cellStyle name="百分比 2 2 5 3 4" xfId="2990"/>
    <cellStyle name="百分比 2 2 5 3 4 2" xfId="2991"/>
    <cellStyle name="百分比 2 2 5 3 5" xfId="2992"/>
    <cellStyle name="百分比 2 2 5 3 5 2" xfId="2993"/>
    <cellStyle name="百分比 2 2 5 3 6" xfId="2994"/>
    <cellStyle name="百分比 2 2 5 3 7" xfId="2995"/>
    <cellStyle name="百分比 2 2 5 4" xfId="2996"/>
    <cellStyle name="百分比 2 2 5 4 2" xfId="2997"/>
    <cellStyle name="百分比 2 2 5 4 2 2" xfId="2998"/>
    <cellStyle name="百分比 2 2 5 4 3" xfId="2999"/>
    <cellStyle name="百分比 2 2 5 4 3 2" xfId="3000"/>
    <cellStyle name="百分比 2 2 5 4 4" xfId="3001"/>
    <cellStyle name="百分比 2 2 5 4 5" xfId="3002"/>
    <cellStyle name="百分比 2 2 5 4 6" xfId="3003"/>
    <cellStyle name="百分比 2 2 5 4 7" xfId="3004"/>
    <cellStyle name="百分比 2 2 5 5" xfId="3005"/>
    <cellStyle name="百分比 2 2 5 5 2" xfId="3006"/>
    <cellStyle name="百分比 2 2 5 5 2 2" xfId="3007"/>
    <cellStyle name="百分比 2 2 5 5 3" xfId="3008"/>
    <cellStyle name="百分比 2 2 5 5 4" xfId="3009"/>
    <cellStyle name="百分比 2 2 5 5 5" xfId="3010"/>
    <cellStyle name="百分比 2 2 5 6" xfId="3011"/>
    <cellStyle name="百分比 2 2 5 6 2" xfId="3012"/>
    <cellStyle name="百分比 2 2 5 7" xfId="3013"/>
    <cellStyle name="百分比 2 2 5 7 2" xfId="3014"/>
    <cellStyle name="百分比 2 2 5 8" xfId="3015"/>
    <cellStyle name="百分比 2 2 5 9" xfId="3016"/>
    <cellStyle name="百分比 2 2 5 9 2" xfId="3017"/>
    <cellStyle name="百分比 2 2 6" xfId="3018"/>
    <cellStyle name="百分比 2 2 6 2" xfId="3019"/>
    <cellStyle name="百分比 2 2 6 2 2" xfId="3020"/>
    <cellStyle name="百分比 2 2 6 2 2 2" xfId="3021"/>
    <cellStyle name="百分比 2 2 6 2 2 2 2" xfId="3022"/>
    <cellStyle name="百分比 2 2 6 2 2 3" xfId="3023"/>
    <cellStyle name="百分比 2 2 6 2 2 4" xfId="3024"/>
    <cellStyle name="百分比 2 2 6 2 3" xfId="3025"/>
    <cellStyle name="百分比 2 2 6 2 3 2" xfId="3026"/>
    <cellStyle name="百分比 2 2 6 2 3 2 2" xfId="3027"/>
    <cellStyle name="百分比 2 2 6 2 3 3" xfId="3028"/>
    <cellStyle name="百分比 2 2 6 2 3 4" xfId="3029"/>
    <cellStyle name="百分比 2 2 6 2 4" xfId="3030"/>
    <cellStyle name="百分比 2 2 6 2 4 2" xfId="3031"/>
    <cellStyle name="百分比 2 2 6 2 5" xfId="3032"/>
    <cellStyle name="百分比 2 2 6 2 6" xfId="3033"/>
    <cellStyle name="百分比 2 2 6 3" xfId="3034"/>
    <cellStyle name="百分比 2 2 6 3 2" xfId="3035"/>
    <cellStyle name="百分比 2 2 6 3 2 2" xfId="3036"/>
    <cellStyle name="百分比 2 2 6 3 3" xfId="3037"/>
    <cellStyle name="百分比 2 2 6 3 4" xfId="3038"/>
    <cellStyle name="百分比 2 2 6 4" xfId="3039"/>
    <cellStyle name="百分比 2 2 6 4 2" xfId="3040"/>
    <cellStyle name="百分比 2 2 6 4 2 2" xfId="3041"/>
    <cellStyle name="百分比 2 2 6 4 3" xfId="3042"/>
    <cellStyle name="百分比 2 2 6 4 4" xfId="3043"/>
    <cellStyle name="百分比 2 2 6 5" xfId="3044"/>
    <cellStyle name="百分比 2 2 6 5 2" xfId="3045"/>
    <cellStyle name="百分比 2 2 6 6" xfId="3046"/>
    <cellStyle name="百分比 2 2 6 7" xfId="3047"/>
    <cellStyle name="百分比 2 2 6 8" xfId="3048"/>
    <cellStyle name="百分比 2 2 7" xfId="3049"/>
    <cellStyle name="百分比 2 2 7 2" xfId="3050"/>
    <cellStyle name="百分比 2 2 7 2 2" xfId="3051"/>
    <cellStyle name="百分比 2 2 7 2 2 2" xfId="3052"/>
    <cellStyle name="百分比 2 2 7 2 2 2 2" xfId="3053"/>
    <cellStyle name="百分比 2 2 7 2 2 3" xfId="3054"/>
    <cellStyle name="百分比 2 2 7 2 2 4" xfId="3055"/>
    <cellStyle name="百分比 2 2 7 2 3" xfId="3056"/>
    <cellStyle name="百分比 2 2 7 2 3 2" xfId="3057"/>
    <cellStyle name="百分比 2 2 7 2 4" xfId="3058"/>
    <cellStyle name="百分比 2 2 7 2 5" xfId="3059"/>
    <cellStyle name="百分比 2 2 7 3" xfId="3060"/>
    <cellStyle name="百分比 2 2 7 3 2" xfId="3061"/>
    <cellStyle name="百分比 2 2 7 3 2 2" xfId="3062"/>
    <cellStyle name="百分比 2 2 7 3 3" xfId="3063"/>
    <cellStyle name="百分比 2 2 7 3 4" xfId="3064"/>
    <cellStyle name="百分比 2 2 7 4" xfId="3065"/>
    <cellStyle name="百分比 2 2 7 4 2" xfId="3066"/>
    <cellStyle name="百分比 2 2 7 5" xfId="3067"/>
    <cellStyle name="百分比 2 2 7 6" xfId="3068"/>
    <cellStyle name="百分比 2 2 7 7" xfId="3069"/>
    <cellStyle name="百分比 2 2 8" xfId="3070"/>
    <cellStyle name="百分比 2 2 8 2" xfId="3071"/>
    <cellStyle name="百分比 2 2 8 2 2" xfId="3072"/>
    <cellStyle name="百分比 2 2 8 2 2 2" xfId="3073"/>
    <cellStyle name="百分比 2 2 8 2 3" xfId="3074"/>
    <cellStyle name="百分比 2 2 8 2 4" xfId="3075"/>
    <cellStyle name="百分比 2 2 8 3" xfId="3076"/>
    <cellStyle name="百分比 2 2 8 3 2" xfId="3077"/>
    <cellStyle name="百分比 2 2 8 3 2 2" xfId="3078"/>
    <cellStyle name="百分比 2 2 8 3 3" xfId="3079"/>
    <cellStyle name="百分比 2 2 8 3 4" xfId="3080"/>
    <cellStyle name="百分比 2 2 8 4" xfId="3081"/>
    <cellStyle name="百分比 2 2 8 4 2" xfId="3082"/>
    <cellStyle name="百分比 2 2 8 5" xfId="3083"/>
    <cellStyle name="百分比 2 2 8 6" xfId="3084"/>
    <cellStyle name="百分比 2 2 8 7" xfId="3085"/>
    <cellStyle name="百分比 2 2 9" xfId="3086"/>
    <cellStyle name="百分比 2 2 9 2" xfId="3087"/>
    <cellStyle name="百分比 2 2 9 2 2" xfId="3088"/>
    <cellStyle name="百分比 2 2 9 3" xfId="3089"/>
    <cellStyle name="百分比 2 2 9 4" xfId="3090"/>
    <cellStyle name="百分比 2 2 9 5" xfId="3091"/>
    <cellStyle name="百分比 2 2 9 6" xfId="3092"/>
    <cellStyle name="百分比 2 2 9 7" xfId="3093"/>
    <cellStyle name="百分比 2 3" xfId="3094"/>
    <cellStyle name="百分比 2 3 10" xfId="3095"/>
    <cellStyle name="百分比 2 3 11" xfId="3096"/>
    <cellStyle name="百分比 2 3 2" xfId="3097"/>
    <cellStyle name="百分比 2 3 2 2" xfId="3098"/>
    <cellStyle name="百分比 2 3 2 2 2" xfId="3099"/>
    <cellStyle name="百分比 2 3 2 2 3" xfId="3100"/>
    <cellStyle name="百分比 2 3 2 2 4" xfId="3101"/>
    <cellStyle name="百分比 2 3 2 2 5" xfId="3102"/>
    <cellStyle name="百分比 2 3 2 2 6" xfId="3103"/>
    <cellStyle name="百分比 2 3 2 2 7" xfId="3104"/>
    <cellStyle name="百分比 2 3 2 3" xfId="3105"/>
    <cellStyle name="百分比 2 3 2 4" xfId="3106"/>
    <cellStyle name="百分比 2 3 2 5" xfId="3107"/>
    <cellStyle name="百分比 2 3 2 6" xfId="3108"/>
    <cellStyle name="百分比 2 3 2 7" xfId="3109"/>
    <cellStyle name="百分比 2 3 2 8" xfId="3110"/>
    <cellStyle name="百分比 2 3 2 9" xfId="3111"/>
    <cellStyle name="百分比 2 3 3" xfId="3112"/>
    <cellStyle name="百分比 2 3 3 2" xfId="3113"/>
    <cellStyle name="百分比 2 3 3 3" xfId="3114"/>
    <cellStyle name="百分比 2 3 3 4" xfId="3115"/>
    <cellStyle name="百分比 2 3 3 5" xfId="3116"/>
    <cellStyle name="百分比 2 3 3 6" xfId="3117"/>
    <cellStyle name="百分比 2 3 3 7" xfId="3118"/>
    <cellStyle name="百分比 2 3 3 8" xfId="3119"/>
    <cellStyle name="百分比 2 3 4" xfId="3120"/>
    <cellStyle name="百分比 2 3 4 2" xfId="3121"/>
    <cellStyle name="百分比 2 3 5" xfId="3122"/>
    <cellStyle name="百分比 2 3 6" xfId="3123"/>
    <cellStyle name="百分比 2 3 7" xfId="3124"/>
    <cellStyle name="百分比 2 3 8" xfId="3125"/>
    <cellStyle name="百分比 2 3 9" xfId="3126"/>
    <cellStyle name="百分比 2 4" xfId="3127"/>
    <cellStyle name="百分比 2 4 10" xfId="3128"/>
    <cellStyle name="百分比 2 4 11" xfId="3129"/>
    <cellStyle name="百分比 2 4 12" xfId="3130"/>
    <cellStyle name="百分比 2 4 2" xfId="3131"/>
    <cellStyle name="百分比 2 4 2 10" xfId="3132"/>
    <cellStyle name="百分比 2 4 2 2" xfId="3133"/>
    <cellStyle name="百分比 2 4 2 2 2" xfId="3134"/>
    <cellStyle name="百分比 2 4 2 2 2 2" xfId="3135"/>
    <cellStyle name="百分比 2 4 2 2 2 2 2" xfId="3136"/>
    <cellStyle name="百分比 2 4 2 2 2 2 2 2" xfId="3137"/>
    <cellStyle name="百分比 2 4 2 2 2 2 3" xfId="3138"/>
    <cellStyle name="百分比 2 4 2 2 2 2 4" xfId="3139"/>
    <cellStyle name="百分比 2 4 2 2 2 2 5" xfId="3140"/>
    <cellStyle name="百分比 2 4 2 2 2 3" xfId="3141"/>
    <cellStyle name="百分比 2 4 2 2 2 3 2" xfId="3142"/>
    <cellStyle name="百分比 2 4 2 2 2 3 2 2" xfId="3143"/>
    <cellStyle name="百分比 2 4 2 2 2 3 3" xfId="3144"/>
    <cellStyle name="百分比 2 4 2 2 2 3 4" xfId="3145"/>
    <cellStyle name="百分比 2 4 2 2 2 3 5" xfId="3146"/>
    <cellStyle name="百分比 2 4 2 2 2 4" xfId="3147"/>
    <cellStyle name="百分比 2 4 2 2 2 4 2" xfId="3148"/>
    <cellStyle name="百分比 2 4 2 2 2 5" xfId="3149"/>
    <cellStyle name="百分比 2 4 2 2 2 5 2" xfId="3150"/>
    <cellStyle name="百分比 2 4 2 2 2 6" xfId="3151"/>
    <cellStyle name="百分比 2 4 2 2 2 7" xfId="3152"/>
    <cellStyle name="百分比 2 4 2 2 3" xfId="3153"/>
    <cellStyle name="百分比 2 4 2 2 3 2" xfId="3154"/>
    <cellStyle name="百分比 2 4 2 2 3 2 2" xfId="3155"/>
    <cellStyle name="百分比 2 4 2 2 3 3" xfId="3156"/>
    <cellStyle name="百分比 2 4 2 2 3 3 2" xfId="3157"/>
    <cellStyle name="百分比 2 4 2 2 3 4" xfId="3158"/>
    <cellStyle name="百分比 2 4 2 2 3 5" xfId="3159"/>
    <cellStyle name="百分比 2 4 2 2 3 6" xfId="3160"/>
    <cellStyle name="百分比 2 4 2 2 3 7" xfId="3161"/>
    <cellStyle name="百分比 2 4 2 2 4" xfId="3162"/>
    <cellStyle name="百分比 2 4 2 2 4 2" xfId="3163"/>
    <cellStyle name="百分比 2 4 2 2 4 2 2" xfId="3164"/>
    <cellStyle name="百分比 2 4 2 2 4 3" xfId="3165"/>
    <cellStyle name="百分比 2 4 2 2 4 4" xfId="3166"/>
    <cellStyle name="百分比 2 4 2 2 4 5" xfId="3167"/>
    <cellStyle name="百分比 2 4 2 2 5" xfId="3168"/>
    <cellStyle name="百分比 2 4 2 2 5 2" xfId="3169"/>
    <cellStyle name="百分比 2 4 2 2 6" xfId="3170"/>
    <cellStyle name="百分比 2 4 2 2 6 2" xfId="3171"/>
    <cellStyle name="百分比 2 4 2 2 7" xfId="3172"/>
    <cellStyle name="百分比 2 4 2 2 8" xfId="3173"/>
    <cellStyle name="百分比 2 4 2 2 8 2" xfId="3174"/>
    <cellStyle name="百分比 2 4 2 2 9" xfId="3175"/>
    <cellStyle name="百分比 2 4 2 3" xfId="3176"/>
    <cellStyle name="百分比 2 4 2 3 2" xfId="3177"/>
    <cellStyle name="百分比 2 4 2 3 2 2" xfId="3178"/>
    <cellStyle name="百分比 2 4 2 3 2 2 2" xfId="3179"/>
    <cellStyle name="百分比 2 4 2 3 2 3" xfId="3180"/>
    <cellStyle name="百分比 2 4 2 3 2 3 2" xfId="3181"/>
    <cellStyle name="百分比 2 4 2 3 2 4" xfId="3182"/>
    <cellStyle name="百分比 2 4 2 3 2 5" xfId="3183"/>
    <cellStyle name="百分比 2 4 2 3 2 6" xfId="3184"/>
    <cellStyle name="百分比 2 4 2 3 2 7" xfId="3185"/>
    <cellStyle name="百分比 2 4 2 3 3" xfId="3186"/>
    <cellStyle name="百分比 2 4 2 3 3 2" xfId="3187"/>
    <cellStyle name="百分比 2 4 2 3 3 2 2" xfId="3188"/>
    <cellStyle name="百分比 2 4 2 3 3 3" xfId="3189"/>
    <cellStyle name="百分比 2 4 2 3 3 4" xfId="3190"/>
    <cellStyle name="百分比 2 4 2 3 3 5" xfId="3191"/>
    <cellStyle name="百分比 2 4 2 3 4" xfId="3192"/>
    <cellStyle name="百分比 2 4 2 3 4 2" xfId="3193"/>
    <cellStyle name="百分比 2 4 2 3 5" xfId="3194"/>
    <cellStyle name="百分比 2 4 2 3 5 2" xfId="3195"/>
    <cellStyle name="百分比 2 4 2 3 6" xfId="3196"/>
    <cellStyle name="百分比 2 4 2 3 7" xfId="3197"/>
    <cellStyle name="百分比 2 4 2 3 8" xfId="3198"/>
    <cellStyle name="百分比 2 4 2 4" xfId="3199"/>
    <cellStyle name="百分比 2 4 2 4 2" xfId="3200"/>
    <cellStyle name="百分比 2 4 2 4 2 2" xfId="3201"/>
    <cellStyle name="百分比 2 4 2 4 3" xfId="3202"/>
    <cellStyle name="百分比 2 4 2 4 3 2" xfId="3203"/>
    <cellStyle name="百分比 2 4 2 4 4" xfId="3204"/>
    <cellStyle name="百分比 2 4 2 4 5" xfId="3205"/>
    <cellStyle name="百分比 2 4 2 4 6" xfId="3206"/>
    <cellStyle name="百分比 2 4 2 4 7" xfId="3207"/>
    <cellStyle name="百分比 2 4 2 5" xfId="3208"/>
    <cellStyle name="百分比 2 4 2 5 2" xfId="3209"/>
    <cellStyle name="百分比 2 4 2 5 2 2" xfId="3210"/>
    <cellStyle name="百分比 2 4 2 5 3" xfId="3211"/>
    <cellStyle name="百分比 2 4 2 5 3 2" xfId="3212"/>
    <cellStyle name="百分比 2 4 2 5 4" xfId="3213"/>
    <cellStyle name="百分比 2 4 2 5 5" xfId="3214"/>
    <cellStyle name="百分比 2 4 2 5 6" xfId="3215"/>
    <cellStyle name="百分比 2 4 2 5 7" xfId="3216"/>
    <cellStyle name="百分比 2 4 2 6" xfId="3217"/>
    <cellStyle name="百分比 2 4 2 6 2" xfId="3218"/>
    <cellStyle name="百分比 2 4 2 7" xfId="3219"/>
    <cellStyle name="百分比 2 4 2 7 2" xfId="3220"/>
    <cellStyle name="百分比 2 4 2 8" xfId="3221"/>
    <cellStyle name="百分比 2 4 2 9" xfId="3222"/>
    <cellStyle name="百分比 2 4 2 9 2" xfId="3223"/>
    <cellStyle name="百分比 2 4 3" xfId="3224"/>
    <cellStyle name="百分比 2 4 3 2" xfId="3225"/>
    <cellStyle name="百分比 2 4 3 2 2" xfId="3226"/>
    <cellStyle name="百分比 2 4 3 2 2 2" xfId="3227"/>
    <cellStyle name="百分比 2 4 3 2 2 2 2" xfId="3228"/>
    <cellStyle name="百分比 2 4 3 2 2 2 2 2" xfId="3229"/>
    <cellStyle name="百分比 2 4 3 2 2 2 3" xfId="3230"/>
    <cellStyle name="百分比 2 4 3 2 2 2 4" xfId="3231"/>
    <cellStyle name="百分比 2 4 3 2 2 3" xfId="3232"/>
    <cellStyle name="百分比 2 4 3 2 2 3 2" xfId="3233"/>
    <cellStyle name="百分比 2 4 3 2 2 4" xfId="3234"/>
    <cellStyle name="百分比 2 4 3 2 2 5" xfId="3235"/>
    <cellStyle name="百分比 2 4 3 2 3" xfId="3236"/>
    <cellStyle name="百分比 2 4 3 2 3 2" xfId="3237"/>
    <cellStyle name="百分比 2 4 3 2 3 2 2" xfId="3238"/>
    <cellStyle name="百分比 2 4 3 2 3 3" xfId="3239"/>
    <cellStyle name="百分比 2 4 3 2 3 4" xfId="3240"/>
    <cellStyle name="百分比 2 4 3 2 4" xfId="3241"/>
    <cellStyle name="百分比 2 4 3 2 4 2" xfId="3242"/>
    <cellStyle name="百分比 2 4 3 2 5" xfId="3243"/>
    <cellStyle name="百分比 2 4 3 2 6" xfId="3244"/>
    <cellStyle name="百分比 2 4 3 3" xfId="3245"/>
    <cellStyle name="百分比 2 4 3 3 2" xfId="3246"/>
    <cellStyle name="百分比 2 4 3 3 2 2" xfId="3247"/>
    <cellStyle name="百分比 2 4 3 3 2 2 2" xfId="3248"/>
    <cellStyle name="百分比 2 4 3 3 2 3" xfId="3249"/>
    <cellStyle name="百分比 2 4 3 3 2 4" xfId="3250"/>
    <cellStyle name="百分比 2 4 3 3 2 5" xfId="3251"/>
    <cellStyle name="百分比 2 4 3 3 3" xfId="3252"/>
    <cellStyle name="百分比 2 4 3 3 3 2" xfId="3253"/>
    <cellStyle name="百分比 2 4 3 3 3 2 2" xfId="3254"/>
    <cellStyle name="百分比 2 4 3 3 3 3" xfId="3255"/>
    <cellStyle name="百分比 2 4 3 3 3 4" xfId="3256"/>
    <cellStyle name="百分比 2 4 3 3 3 5" xfId="3257"/>
    <cellStyle name="百分比 2 4 3 3 4" xfId="3258"/>
    <cellStyle name="百分比 2 4 3 3 4 2" xfId="3259"/>
    <cellStyle name="百分比 2 4 3 3 5" xfId="3260"/>
    <cellStyle name="百分比 2 4 3 3 5 2" xfId="3261"/>
    <cellStyle name="百分比 2 4 3 3 6" xfId="3262"/>
    <cellStyle name="百分比 2 4 3 3 7" xfId="3263"/>
    <cellStyle name="百分比 2 4 3 4" xfId="3264"/>
    <cellStyle name="百分比 2 4 3 4 2" xfId="3265"/>
    <cellStyle name="百分比 2 4 3 4 2 2" xfId="3266"/>
    <cellStyle name="百分比 2 4 3 4 3" xfId="3267"/>
    <cellStyle name="百分比 2 4 3 4 3 2" xfId="3268"/>
    <cellStyle name="百分比 2 4 3 4 4" xfId="3269"/>
    <cellStyle name="百分比 2 4 3 4 5" xfId="3270"/>
    <cellStyle name="百分比 2 4 3 4 6" xfId="3271"/>
    <cellStyle name="百分比 2 4 3 4 7" xfId="3272"/>
    <cellStyle name="百分比 2 4 3 5" xfId="3273"/>
    <cellStyle name="百分比 2 4 3 5 2" xfId="3274"/>
    <cellStyle name="百分比 2 4 3 5 2 2" xfId="3275"/>
    <cellStyle name="百分比 2 4 3 5 3" xfId="3276"/>
    <cellStyle name="百分比 2 4 3 5 4" xfId="3277"/>
    <cellStyle name="百分比 2 4 3 5 5" xfId="3278"/>
    <cellStyle name="百分比 2 4 3 6" xfId="3279"/>
    <cellStyle name="百分比 2 4 3 6 2" xfId="3280"/>
    <cellStyle name="百分比 2 4 3 7" xfId="3281"/>
    <cellStyle name="百分比 2 4 3 7 2" xfId="3282"/>
    <cellStyle name="百分比 2 4 3 8" xfId="3283"/>
    <cellStyle name="百分比 2 4 3 9" xfId="3284"/>
    <cellStyle name="百分比 2 4 3 9 2" xfId="3285"/>
    <cellStyle name="百分比 2 4 4" xfId="3286"/>
    <cellStyle name="百分比 2 4 4 2" xfId="3287"/>
    <cellStyle name="百分比 2 4 4 2 2" xfId="3288"/>
    <cellStyle name="百分比 2 4 4 2 2 2" xfId="3289"/>
    <cellStyle name="百分比 2 4 4 2 2 2 2" xfId="3290"/>
    <cellStyle name="百分比 2 4 4 2 2 3" xfId="3291"/>
    <cellStyle name="百分比 2 4 4 2 2 4" xfId="3292"/>
    <cellStyle name="百分比 2 4 4 2 3" xfId="3293"/>
    <cellStyle name="百分比 2 4 4 2 3 2" xfId="3294"/>
    <cellStyle name="百分比 2 4 4 2 3 2 2" xfId="3295"/>
    <cellStyle name="百分比 2 4 4 2 3 3" xfId="3296"/>
    <cellStyle name="百分比 2 4 4 2 3 4" xfId="3297"/>
    <cellStyle name="百分比 2 4 4 2 4" xfId="3298"/>
    <cellStyle name="百分比 2 4 4 2 4 2" xfId="3299"/>
    <cellStyle name="百分比 2 4 4 2 5" xfId="3300"/>
    <cellStyle name="百分比 2 4 4 2 6" xfId="3301"/>
    <cellStyle name="百分比 2 4 4 3" xfId="3302"/>
    <cellStyle name="百分比 2 4 4 3 2" xfId="3303"/>
    <cellStyle name="百分比 2 4 4 3 2 2" xfId="3304"/>
    <cellStyle name="百分比 2 4 4 3 3" xfId="3305"/>
    <cellStyle name="百分比 2 4 4 3 4" xfId="3306"/>
    <cellStyle name="百分比 2 4 4 4" xfId="3307"/>
    <cellStyle name="百分比 2 4 4 4 2" xfId="3308"/>
    <cellStyle name="百分比 2 4 4 4 2 2" xfId="3309"/>
    <cellStyle name="百分比 2 4 4 4 3" xfId="3310"/>
    <cellStyle name="百分比 2 4 4 4 4" xfId="3311"/>
    <cellStyle name="百分比 2 4 4 5" xfId="3312"/>
    <cellStyle name="百分比 2 4 4 5 2" xfId="3313"/>
    <cellStyle name="百分比 2 4 4 6" xfId="3314"/>
    <cellStyle name="百分比 2 4 4 7" xfId="3315"/>
    <cellStyle name="百分比 2 4 4 8" xfId="3316"/>
    <cellStyle name="百分比 2 4 5" xfId="3317"/>
    <cellStyle name="百分比 2 4 5 2" xfId="3318"/>
    <cellStyle name="百分比 2 4 5 2 2" xfId="3319"/>
    <cellStyle name="百分比 2 4 5 2 2 2" xfId="3320"/>
    <cellStyle name="百分比 2 4 5 2 2 2 2" xfId="3321"/>
    <cellStyle name="百分比 2 4 5 2 2 3" xfId="3322"/>
    <cellStyle name="百分比 2 4 5 2 2 4" xfId="3323"/>
    <cellStyle name="百分比 2 4 5 2 3" xfId="3324"/>
    <cellStyle name="百分比 2 4 5 2 3 2" xfId="3325"/>
    <cellStyle name="百分比 2 4 5 2 4" xfId="3326"/>
    <cellStyle name="百分比 2 4 5 2 5" xfId="3327"/>
    <cellStyle name="百分比 2 4 5 3" xfId="3328"/>
    <cellStyle name="百分比 2 4 5 3 2" xfId="3329"/>
    <cellStyle name="百分比 2 4 5 3 2 2" xfId="3330"/>
    <cellStyle name="百分比 2 4 5 3 3" xfId="3331"/>
    <cellStyle name="百分比 2 4 5 3 4" xfId="3332"/>
    <cellStyle name="百分比 2 4 5 4" xfId="3333"/>
    <cellStyle name="百分比 2 4 5 4 2" xfId="3334"/>
    <cellStyle name="百分比 2 4 5 5" xfId="3335"/>
    <cellStyle name="百分比 2 4 5 6" xfId="3336"/>
    <cellStyle name="百分比 2 4 6" xfId="3337"/>
    <cellStyle name="百分比 2 4 6 2" xfId="3338"/>
    <cellStyle name="百分比 2 4 6 2 2" xfId="3339"/>
    <cellStyle name="百分比 2 4 6 2 2 2" xfId="3340"/>
    <cellStyle name="百分比 2 4 6 2 3" xfId="3341"/>
    <cellStyle name="百分比 2 4 6 2 4" xfId="3342"/>
    <cellStyle name="百分比 2 4 6 2 5" xfId="3343"/>
    <cellStyle name="百分比 2 4 6 3" xfId="3344"/>
    <cellStyle name="百分比 2 4 6 3 2" xfId="3345"/>
    <cellStyle name="百分比 2 4 6 4" xfId="3346"/>
    <cellStyle name="百分比 2 4 6 4 2" xfId="3347"/>
    <cellStyle name="百分比 2 4 6 5" xfId="3348"/>
    <cellStyle name="百分比 2 4 6 6" xfId="3349"/>
    <cellStyle name="百分比 2 4 6 7" xfId="3350"/>
    <cellStyle name="百分比 2 4 7" xfId="3351"/>
    <cellStyle name="百分比 2 4 7 2" xfId="3352"/>
    <cellStyle name="百分比 2 4 7 2 2" xfId="3353"/>
    <cellStyle name="百分比 2 4 7 3" xfId="3354"/>
    <cellStyle name="百分比 2 4 7 3 2" xfId="3355"/>
    <cellStyle name="百分比 2 4 7 4" xfId="3356"/>
    <cellStyle name="百分比 2 4 7 5" xfId="3357"/>
    <cellStyle name="百分比 2 4 7 6" xfId="3358"/>
    <cellStyle name="百分比 2 4 7 7" xfId="3359"/>
    <cellStyle name="百分比 2 4 8" xfId="3360"/>
    <cellStyle name="百分比 2 4 8 2" xfId="3361"/>
    <cellStyle name="百分比 2 4 9" xfId="3362"/>
    <cellStyle name="百分比 2 4 9 2" xfId="3363"/>
    <cellStyle name="百分比 2 5" xfId="3364"/>
    <cellStyle name="百分比 2 5 2" xfId="3365"/>
    <cellStyle name="百分比 2 5 2 2" xfId="3366"/>
    <cellStyle name="百分比 2 5 2 3" xfId="3367"/>
    <cellStyle name="百分比 2 5 2 4" xfId="3368"/>
    <cellStyle name="百分比 2 5 2 5" xfId="3369"/>
    <cellStyle name="百分比 2 5 2 6" xfId="3370"/>
    <cellStyle name="百分比 2 5 2 7" xfId="3371"/>
    <cellStyle name="百分比 2 5 2 8" xfId="3372"/>
    <cellStyle name="百分比 2 5 3" xfId="3373"/>
    <cellStyle name="百分比 2 5 3 2" xfId="3374"/>
    <cellStyle name="百分比 2 5 4" xfId="3375"/>
    <cellStyle name="百分比 2 5 5" xfId="3376"/>
    <cellStyle name="百分比 2 5 6" xfId="3377"/>
    <cellStyle name="百分比 2 5 7" xfId="3378"/>
    <cellStyle name="百分比 2 5 8" xfId="3379"/>
    <cellStyle name="百分比 2 6" xfId="3380"/>
    <cellStyle name="百分比 2 6 2" xfId="3381"/>
    <cellStyle name="百分比 2 6 2 2" xfId="3382"/>
    <cellStyle name="百分比 2 6 3" xfId="3383"/>
    <cellStyle name="百分比 2 6 3 2" xfId="3384"/>
    <cellStyle name="百分比 2 6 4" xfId="3385"/>
    <cellStyle name="百分比 2 6 5" xfId="3386"/>
    <cellStyle name="百分比 2 6 6" xfId="3387"/>
    <cellStyle name="百分比 2 6 7" xfId="3388"/>
    <cellStyle name="百分比 2 6 8" xfId="3389"/>
    <cellStyle name="百分比 2 6 9" xfId="3390"/>
    <cellStyle name="百分比 2 7" xfId="3391"/>
    <cellStyle name="百分比 2 7 2" xfId="3392"/>
    <cellStyle name="百分比 2 7 2 10" xfId="3393"/>
    <cellStyle name="百分比 2 7 2 2" xfId="3394"/>
    <cellStyle name="百分比 2 7 2 2 2" xfId="3395"/>
    <cellStyle name="百分比 2 7 2 2 2 2" xfId="3396"/>
    <cellStyle name="百分比 2 7 2 2 2 2 2" xfId="3397"/>
    <cellStyle name="百分比 2 7 2 2 2 3" xfId="3398"/>
    <cellStyle name="百分比 2 7 2 2 2 3 2" xfId="3399"/>
    <cellStyle name="百分比 2 7 2 2 2 4" xfId="3400"/>
    <cellStyle name="百分比 2 7 2 2 2 5" xfId="3401"/>
    <cellStyle name="百分比 2 7 2 2 2 6" xfId="3402"/>
    <cellStyle name="百分比 2 7 2 2 2 7" xfId="3403"/>
    <cellStyle name="百分比 2 7 2 2 3" xfId="3404"/>
    <cellStyle name="百分比 2 7 2 2 3 2" xfId="3405"/>
    <cellStyle name="百分比 2 7 2 2 3 2 2" xfId="3406"/>
    <cellStyle name="百分比 2 7 2 2 3 3" xfId="3407"/>
    <cellStyle name="百分比 2 7 2 2 3 4" xfId="3408"/>
    <cellStyle name="百分比 2 7 2 2 3 5" xfId="3409"/>
    <cellStyle name="百分比 2 7 2 2 4" xfId="3410"/>
    <cellStyle name="百分比 2 7 2 2 4 2" xfId="3411"/>
    <cellStyle name="百分比 2 7 2 2 5" xfId="3412"/>
    <cellStyle name="百分比 2 7 2 2 5 2" xfId="3413"/>
    <cellStyle name="百分比 2 7 2 2 6" xfId="3414"/>
    <cellStyle name="百分比 2 7 2 2 7" xfId="3415"/>
    <cellStyle name="百分比 2 7 2 2 8" xfId="3416"/>
    <cellStyle name="百分比 2 7 2 3" xfId="3417"/>
    <cellStyle name="百分比 2 7 2 3 2" xfId="3418"/>
    <cellStyle name="百分比 2 7 2 3 2 2" xfId="3419"/>
    <cellStyle name="百分比 2 7 2 3 2 3" xfId="3420"/>
    <cellStyle name="百分比 2 7 2 3 2 4" xfId="3421"/>
    <cellStyle name="百分比 2 7 2 3 2 5" xfId="3422"/>
    <cellStyle name="百分比 2 7 2 3 2 6" xfId="3423"/>
    <cellStyle name="百分比 2 7 2 3 2 7" xfId="3424"/>
    <cellStyle name="百分比 2 7 2 3 3" xfId="3425"/>
    <cellStyle name="百分比 2 7 2 3 3 2" xfId="3426"/>
    <cellStyle name="百分比 2 7 2 3 4" xfId="3427"/>
    <cellStyle name="百分比 2 7 2 3 5" xfId="3428"/>
    <cellStyle name="百分比 2 7 2 3 6" xfId="3429"/>
    <cellStyle name="百分比 2 7 2 3 7" xfId="3430"/>
    <cellStyle name="百分比 2 7 2 3 8" xfId="3431"/>
    <cellStyle name="百分比 2 7 2 4" xfId="3432"/>
    <cellStyle name="百分比 2 7 2 4 2" xfId="3433"/>
    <cellStyle name="百分比 2 7 2 4 2 2" xfId="3434"/>
    <cellStyle name="百分比 2 7 2 4 3" xfId="3435"/>
    <cellStyle name="百分比 2 7 2 4 3 2" xfId="3436"/>
    <cellStyle name="百分比 2 7 2 4 4" xfId="3437"/>
    <cellStyle name="百分比 2 7 2 4 5" xfId="3438"/>
    <cellStyle name="百分比 2 7 2 4 6" xfId="3439"/>
    <cellStyle name="百分比 2 7 2 4 7" xfId="3440"/>
    <cellStyle name="百分比 2 7 2 5" xfId="3441"/>
    <cellStyle name="百分比 2 7 2 5 2" xfId="3442"/>
    <cellStyle name="百分比 2 7 2 6" xfId="3443"/>
    <cellStyle name="百分比 2 7 2 6 2" xfId="3444"/>
    <cellStyle name="百分比 2 7 2 7" xfId="3445"/>
    <cellStyle name="百分比 2 7 2 8" xfId="3446"/>
    <cellStyle name="百分比 2 7 2 8 2" xfId="3447"/>
    <cellStyle name="百分比 2 7 2 9" xfId="3448"/>
    <cellStyle name="百分比 2 7 3" xfId="3449"/>
    <cellStyle name="百分比 2 7 3 2" xfId="3450"/>
    <cellStyle name="百分比 2 7 3 2 2" xfId="3451"/>
    <cellStyle name="百分比 2 7 3 2 2 2" xfId="3452"/>
    <cellStyle name="百分比 2 7 3 2 3" xfId="3453"/>
    <cellStyle name="百分比 2 7 3 2 4" xfId="3454"/>
    <cellStyle name="百分比 2 7 3 2 5" xfId="3455"/>
    <cellStyle name="百分比 2 7 3 3" xfId="3456"/>
    <cellStyle name="百分比 2 7 3 3 2" xfId="3457"/>
    <cellStyle name="百分比 2 7 3 3 2 2" xfId="3458"/>
    <cellStyle name="百分比 2 7 3 3 3" xfId="3459"/>
    <cellStyle name="百分比 2 7 3 3 3 2" xfId="3460"/>
    <cellStyle name="百分比 2 7 3 3 4" xfId="3461"/>
    <cellStyle name="百分比 2 7 3 3 5" xfId="3462"/>
    <cellStyle name="百分比 2 7 3 3 6" xfId="3463"/>
    <cellStyle name="百分比 2 7 3 3 7" xfId="3464"/>
    <cellStyle name="百分比 2 7 3 4" xfId="3465"/>
    <cellStyle name="百分比 2 7 3 4 2" xfId="3466"/>
    <cellStyle name="百分比 2 7 3 5" xfId="3467"/>
    <cellStyle name="百分比 2 7 3 5 2" xfId="3468"/>
    <cellStyle name="百分比 2 7 3 6" xfId="3469"/>
    <cellStyle name="百分比 2 7 3 7" xfId="3470"/>
    <cellStyle name="百分比 2 7 3 7 2" xfId="3471"/>
    <cellStyle name="百分比 2 7 3 8" xfId="3472"/>
    <cellStyle name="百分比 2 7 3 9" xfId="3473"/>
    <cellStyle name="百分比 2 7 4" xfId="3474"/>
    <cellStyle name="百分比 2 7 4 2" xfId="3475"/>
    <cellStyle name="百分比 2 7 4 2 2" xfId="3476"/>
    <cellStyle name="百分比 2 7 4 3" xfId="3477"/>
    <cellStyle name="百分比 2 7 4 4" xfId="3478"/>
    <cellStyle name="百分比 2 7 4 5" xfId="3479"/>
    <cellStyle name="百分比 2 7 5" xfId="3480"/>
    <cellStyle name="百分比 2 7 5 2" xfId="3481"/>
    <cellStyle name="百分比 2 7 5 2 2" xfId="3482"/>
    <cellStyle name="百分比 2 7 5 3" xfId="3483"/>
    <cellStyle name="百分比 2 7 5 4" xfId="3484"/>
    <cellStyle name="百分比 2 7 6" xfId="3485"/>
    <cellStyle name="百分比 2 7 6 2" xfId="3486"/>
    <cellStyle name="百分比 2 7 6 3" xfId="3487"/>
    <cellStyle name="百分比 2 7 6 4" xfId="3488"/>
    <cellStyle name="百分比 2 7 6 5" xfId="3489"/>
    <cellStyle name="百分比 2 7 6 6" xfId="3490"/>
    <cellStyle name="百分比 2 7 6 7" xfId="3491"/>
    <cellStyle name="百分比 2 7 7" xfId="3492"/>
    <cellStyle name="百分比 2 7 7 2" xfId="3493"/>
    <cellStyle name="百分比 2 7 7 3" xfId="3494"/>
    <cellStyle name="百分比 2 7 7 4" xfId="3495"/>
    <cellStyle name="百分比 2 7 7 5" xfId="3496"/>
    <cellStyle name="百分比 2 7 7 6" xfId="3497"/>
    <cellStyle name="百分比 2 7 7 7" xfId="3498"/>
    <cellStyle name="百分比 2 7 8" xfId="3499"/>
    <cellStyle name="百分比 2 7 9" xfId="3500"/>
    <cellStyle name="百分比 2 8" xfId="3501"/>
    <cellStyle name="百分比 2 8 2" xfId="3502"/>
    <cellStyle name="百分比 2 8 2 2" xfId="3503"/>
    <cellStyle name="百分比 2 8 2 2 2" xfId="3504"/>
    <cellStyle name="百分比 2 8 2 2 2 2" xfId="3505"/>
    <cellStyle name="百分比 2 8 2 2 3" xfId="3506"/>
    <cellStyle name="百分比 2 8 2 2 4" xfId="3507"/>
    <cellStyle name="百分比 2 8 2 3" xfId="3508"/>
    <cellStyle name="百分比 2 8 2 3 2" xfId="3509"/>
    <cellStyle name="百分比 2 8 2 3 2 2" xfId="3510"/>
    <cellStyle name="百分比 2 8 2 3 3" xfId="3511"/>
    <cellStyle name="百分比 2 8 2 3 4" xfId="3512"/>
    <cellStyle name="百分比 2 8 2 4" xfId="3513"/>
    <cellStyle name="百分比 2 8 2 4 2" xfId="3514"/>
    <cellStyle name="百分比 2 8 2 5" xfId="3515"/>
    <cellStyle name="百分比 2 8 2 6" xfId="3516"/>
    <cellStyle name="百分比 2 8 3" xfId="3517"/>
    <cellStyle name="百分比 2 8 3 2" xfId="3518"/>
    <cellStyle name="百分比 2 8 3 2 2" xfId="3519"/>
    <cellStyle name="百分比 2 8 3 3" xfId="3520"/>
    <cellStyle name="百分比 2 8 3 4" xfId="3521"/>
    <cellStyle name="百分比 2 8 4" xfId="3522"/>
    <cellStyle name="百分比 2 8 4 2" xfId="3523"/>
    <cellStyle name="百分比 2 8 4 2 2" xfId="3524"/>
    <cellStyle name="百分比 2 8 4 3" xfId="3525"/>
    <cellStyle name="百分比 2 8 4 4" xfId="3526"/>
    <cellStyle name="百分比 2 8 5" xfId="3527"/>
    <cellStyle name="百分比 2 8 5 2" xfId="3528"/>
    <cellStyle name="百分比 2 8 6" xfId="3529"/>
    <cellStyle name="百分比 2 8 7" xfId="3530"/>
    <cellStyle name="百分比 2 8 8" xfId="3531"/>
    <cellStyle name="百分比 2 8 9" xfId="3532"/>
    <cellStyle name="百分比 2 9" xfId="3533"/>
    <cellStyle name="百分比 2 9 10" xfId="3534"/>
    <cellStyle name="百分比 2 9 2" xfId="3535"/>
    <cellStyle name="百分比 2 9 2 2" xfId="3536"/>
    <cellStyle name="百分比 2 9 2 2 2" xfId="3537"/>
    <cellStyle name="百分比 2 9 2 2 2 2" xfId="3538"/>
    <cellStyle name="百分比 2 9 2 2 3" xfId="3539"/>
    <cellStyle name="百分比 2 9 2 2 3 2" xfId="3540"/>
    <cellStyle name="百分比 2 9 2 2 4" xfId="3541"/>
    <cellStyle name="百分比 2 9 2 2 5" xfId="3542"/>
    <cellStyle name="百分比 2 9 2 2 6" xfId="3543"/>
    <cellStyle name="百分比 2 9 2 2 7" xfId="3544"/>
    <cellStyle name="百分比 2 9 2 3" xfId="3545"/>
    <cellStyle name="百分比 2 9 2 3 2" xfId="3546"/>
    <cellStyle name="百分比 2 9 2 4" xfId="3547"/>
    <cellStyle name="百分比 2 9 2 4 2" xfId="3548"/>
    <cellStyle name="百分比 2 9 2 5" xfId="3549"/>
    <cellStyle name="百分比 2 9 2 6" xfId="3550"/>
    <cellStyle name="百分比 2 9 2 7" xfId="3551"/>
    <cellStyle name="百分比 2 9 2 8" xfId="3552"/>
    <cellStyle name="百分比 2 9 3" xfId="3553"/>
    <cellStyle name="百分比 2 9 3 2" xfId="3554"/>
    <cellStyle name="百分比 2 9 3 2 2" xfId="3555"/>
    <cellStyle name="百分比 2 9 3 2 3" xfId="3556"/>
    <cellStyle name="百分比 2 9 3 2 4" xfId="3557"/>
    <cellStyle name="百分比 2 9 3 2 5" xfId="3558"/>
    <cellStyle name="百分比 2 9 3 2 6" xfId="3559"/>
    <cellStyle name="百分比 2 9 3 2 7" xfId="3560"/>
    <cellStyle name="百分比 2 9 3 3" xfId="3561"/>
    <cellStyle name="百分比 2 9 3 3 2" xfId="3562"/>
    <cellStyle name="百分比 2 9 3 4" xfId="3563"/>
    <cellStyle name="百分比 2 9 3 5" xfId="3564"/>
    <cellStyle name="百分比 2 9 3 6" xfId="3565"/>
    <cellStyle name="百分比 2 9 3 7" xfId="3566"/>
    <cellStyle name="百分比 2 9 3 8" xfId="3567"/>
    <cellStyle name="百分比 2 9 4" xfId="3568"/>
    <cellStyle name="百分比 2 9 4 2" xfId="3569"/>
    <cellStyle name="百分比 2 9 4 3" xfId="3570"/>
    <cellStyle name="百分比 2 9 4 4" xfId="3571"/>
    <cellStyle name="百分比 2 9 4 5" xfId="3572"/>
    <cellStyle name="百分比 2 9 4 6" xfId="3573"/>
    <cellStyle name="百分比 2 9 4 7" xfId="3574"/>
    <cellStyle name="百分比 2 9 5" xfId="3575"/>
    <cellStyle name="百分比 2 9 5 2" xfId="3576"/>
    <cellStyle name="百分比 2 9 6" xfId="3577"/>
    <cellStyle name="百分比 2 9 7" xfId="3578"/>
    <cellStyle name="百分比 2 9 8" xfId="3579"/>
    <cellStyle name="百分比 2 9 9" xfId="3580"/>
    <cellStyle name="百分比 20" xfId="3581"/>
    <cellStyle name="百分比 21" xfId="3582"/>
    <cellStyle name="百分比 21 2" xfId="3583"/>
    <cellStyle name="百分比 22" xfId="3584"/>
    <cellStyle name="百分比 3" xfId="3585"/>
    <cellStyle name="百分比 3 2" xfId="3586"/>
    <cellStyle name="百分比 3 2 2" xfId="3587"/>
    <cellStyle name="百分比 3 2 2 2" xfId="3588"/>
    <cellStyle name="百分比 3 2 2 2 2" xfId="3589"/>
    <cellStyle name="百分比 3 2 2 2 2 2" xfId="3590"/>
    <cellStyle name="百分比 3 2 2 2 3" xfId="3591"/>
    <cellStyle name="百分比 3 2 2 2 4" xfId="3592"/>
    <cellStyle name="百分比 3 2 2 3" xfId="3593"/>
    <cellStyle name="百分比 3 2 2 3 2" xfId="3594"/>
    <cellStyle name="百分比 3 2 2 4" xfId="3595"/>
    <cellStyle name="百分比 3 2 2 5" xfId="3596"/>
    <cellStyle name="百分比 3 2 2 6" xfId="3597"/>
    <cellStyle name="百分比 3 2 2 7" xfId="3598"/>
    <cellStyle name="百分比 3 2 3" xfId="3599"/>
    <cellStyle name="百分比 3 2 3 2" xfId="3600"/>
    <cellStyle name="百分比 3 2 3 2 2" xfId="3601"/>
    <cellStyle name="百分比 3 2 3 2 2 2" xfId="3602"/>
    <cellStyle name="百分比 3 2 3 2 3" xfId="3603"/>
    <cellStyle name="百分比 3 2 3 2 4" xfId="3604"/>
    <cellStyle name="百分比 3 2 3 3" xfId="3605"/>
    <cellStyle name="百分比 3 2 3 3 2" xfId="3606"/>
    <cellStyle name="百分比 3 2 3 4" xfId="3607"/>
    <cellStyle name="百分比 3 2 3 5" xfId="3608"/>
    <cellStyle name="百分比 3 2 4" xfId="3609"/>
    <cellStyle name="百分比 3 2 4 2" xfId="3610"/>
    <cellStyle name="百分比 3 2 5" xfId="3611"/>
    <cellStyle name="百分比 3 2 5 2" xfId="3612"/>
    <cellStyle name="百分比 3 2 6" xfId="3613"/>
    <cellStyle name="百分比 3 2 6 2" xfId="3614"/>
    <cellStyle name="百分比 3 2 7" xfId="3615"/>
    <cellStyle name="百分比 3 2 7 2" xfId="3616"/>
    <cellStyle name="百分比 3 3" xfId="3617"/>
    <cellStyle name="百分比 3 3 2" xfId="3618"/>
    <cellStyle name="百分比 3 3 2 2" xfId="3619"/>
    <cellStyle name="百分比 3 3 2 2 2" xfId="3620"/>
    <cellStyle name="百分比 3 3 2 3" xfId="3621"/>
    <cellStyle name="百分比 3 3 2 4" xfId="3622"/>
    <cellStyle name="百分比 3 3 2 5" xfId="3623"/>
    <cellStyle name="百分比 3 3 3" xfId="3624"/>
    <cellStyle name="百分比 3 3 3 2" xfId="3625"/>
    <cellStyle name="百分比 3 3 3 2 2" xfId="3626"/>
    <cellStyle name="百分比 3 3 3 3" xfId="3627"/>
    <cellStyle name="百分比 3 3 3 4" xfId="3628"/>
    <cellStyle name="百分比 3 3 4" xfId="3629"/>
    <cellStyle name="百分比 3 4" xfId="3630"/>
    <cellStyle name="百分比 3 4 10" xfId="3631"/>
    <cellStyle name="百分比 3 4 11" xfId="3632"/>
    <cellStyle name="百分比 3 4 2" xfId="3633"/>
    <cellStyle name="百分比 3 4 2 2" xfId="3634"/>
    <cellStyle name="百分比 3 4 2 2 2" xfId="3635"/>
    <cellStyle name="百分比 3 4 2 2 3" xfId="3636"/>
    <cellStyle name="百分比 3 4 2 2 4" xfId="3637"/>
    <cellStyle name="百分比 3 4 2 2 5" xfId="3638"/>
    <cellStyle name="百分比 3 4 2 2 6" xfId="3639"/>
    <cellStyle name="百分比 3 4 2 2 7" xfId="3640"/>
    <cellStyle name="百分比 3 4 2 3" xfId="3641"/>
    <cellStyle name="百分比 3 4 2 3 2" xfId="3642"/>
    <cellStyle name="百分比 3 4 2 4" xfId="3643"/>
    <cellStyle name="百分比 3 4 2 5" xfId="3644"/>
    <cellStyle name="百分比 3 4 2 6" xfId="3645"/>
    <cellStyle name="百分比 3 4 2 7" xfId="3646"/>
    <cellStyle name="百分比 3 4 2 8" xfId="3647"/>
    <cellStyle name="百分比 3 4 3" xfId="3648"/>
    <cellStyle name="百分比 3 4 3 2" xfId="3649"/>
    <cellStyle name="百分比 3 4 3 2 2" xfId="3650"/>
    <cellStyle name="百分比 3 4 3 2 3" xfId="3651"/>
    <cellStyle name="百分比 3 4 3 2 4" xfId="3652"/>
    <cellStyle name="百分比 3 4 3 2 5" xfId="3653"/>
    <cellStyle name="百分比 3 4 3 2 6" xfId="3654"/>
    <cellStyle name="百分比 3 4 3 3" xfId="3655"/>
    <cellStyle name="百分比 3 4 3 4" xfId="3656"/>
    <cellStyle name="百分比 3 4 3 5" xfId="3657"/>
    <cellStyle name="百分比 3 4 3 6" xfId="3658"/>
    <cellStyle name="百分比 3 4 3 7" xfId="3659"/>
    <cellStyle name="百分比 3 4 3 8" xfId="3660"/>
    <cellStyle name="百分比 3 4 4" xfId="3661"/>
    <cellStyle name="百分比 3 4 4 2" xfId="3662"/>
    <cellStyle name="百分比 3 4 4 3" xfId="3663"/>
    <cellStyle name="百分比 3 4 4 4" xfId="3664"/>
    <cellStyle name="百分比 3 4 4 5" xfId="3665"/>
    <cellStyle name="百分比 3 4 4 6" xfId="3666"/>
    <cellStyle name="百分比 3 4 4 7" xfId="3667"/>
    <cellStyle name="百分比 3 4 5" xfId="3668"/>
    <cellStyle name="百分比 3 4 6" xfId="3669"/>
    <cellStyle name="百分比 3 4 6 2" xfId="3670"/>
    <cellStyle name="百分比 3 4 7" xfId="3671"/>
    <cellStyle name="百分比 3 4 8" xfId="3672"/>
    <cellStyle name="百分比 3 4 9" xfId="3673"/>
    <cellStyle name="百分比 3 5" xfId="3674"/>
    <cellStyle name="百分比 3 5 10" xfId="3675"/>
    <cellStyle name="百分比 3 5 2" xfId="3676"/>
    <cellStyle name="百分比 3 5 2 2" xfId="3677"/>
    <cellStyle name="百分比 3 5 2 2 2" xfId="3678"/>
    <cellStyle name="百分比 3 5 2 2 3" xfId="3679"/>
    <cellStyle name="百分比 3 5 2 2 4" xfId="3680"/>
    <cellStyle name="百分比 3 5 2 2 5" xfId="3681"/>
    <cellStyle name="百分比 3 5 2 2 6" xfId="3682"/>
    <cellStyle name="百分比 3 5 2 3" xfId="3683"/>
    <cellStyle name="百分比 3 5 2 4" xfId="3684"/>
    <cellStyle name="百分比 3 5 2 5" xfId="3685"/>
    <cellStyle name="百分比 3 5 2 6" xfId="3686"/>
    <cellStyle name="百分比 3 5 2 7" xfId="3687"/>
    <cellStyle name="百分比 3 5 2 8" xfId="3688"/>
    <cellStyle name="百分比 3 5 3" xfId="3689"/>
    <cellStyle name="百分比 3 5 3 2" xfId="3690"/>
    <cellStyle name="百分比 3 5 3 2 2" xfId="3691"/>
    <cellStyle name="百分比 3 5 3 2 3" xfId="3692"/>
    <cellStyle name="百分比 3 5 3 2 4" xfId="3693"/>
    <cellStyle name="百分比 3 5 3 2 5" xfId="3694"/>
    <cellStyle name="百分比 3 5 3 2 6" xfId="3695"/>
    <cellStyle name="百分比 3 5 3 3" xfId="3696"/>
    <cellStyle name="百分比 3 5 3 4" xfId="3697"/>
    <cellStyle name="百分比 3 5 3 5" xfId="3698"/>
    <cellStyle name="百分比 3 5 3 6" xfId="3699"/>
    <cellStyle name="百分比 3 5 3 7" xfId="3700"/>
    <cellStyle name="百分比 3 5 3 8" xfId="3701"/>
    <cellStyle name="百分比 3 5 4" xfId="3702"/>
    <cellStyle name="百分比 3 5 4 2" xfId="3703"/>
    <cellStyle name="百分比 3 5 4 3" xfId="3704"/>
    <cellStyle name="百分比 3 5 4 4" xfId="3705"/>
    <cellStyle name="百分比 3 5 4 5" xfId="3706"/>
    <cellStyle name="百分比 3 5 4 6" xfId="3707"/>
    <cellStyle name="百分比 3 5 5" xfId="3708"/>
    <cellStyle name="百分比 3 5 6" xfId="3709"/>
    <cellStyle name="百分比 3 5 7" xfId="3710"/>
    <cellStyle name="百分比 3 5 8" xfId="3711"/>
    <cellStyle name="百分比 3 5 9" xfId="3712"/>
    <cellStyle name="百分比 3 6" xfId="3713"/>
    <cellStyle name="百分比 3 6 2" xfId="3714"/>
    <cellStyle name="百分比 3 6 3" xfId="3715"/>
    <cellStyle name="百分比 3 6 3 2" xfId="3716"/>
    <cellStyle name="百分比 3 6 3 3" xfId="3717"/>
    <cellStyle name="百分比 3 6 3 4" xfId="3718"/>
    <cellStyle name="百分比 3 6 3 5" xfId="3719"/>
    <cellStyle name="百分比 3 6 3 6" xfId="3720"/>
    <cellStyle name="百分比 3 6 4" xfId="3721"/>
    <cellStyle name="百分比 3 6 5" xfId="3722"/>
    <cellStyle name="百分比 3 6 6" xfId="3723"/>
    <cellStyle name="百分比 3 6 7" xfId="3724"/>
    <cellStyle name="百分比 3 6 8" xfId="3725"/>
    <cellStyle name="百分比 3 7" xfId="3726"/>
    <cellStyle name="百分比 3 8" xfId="3727"/>
    <cellStyle name="百分比 4" xfId="3728"/>
    <cellStyle name="百分比 4 10" xfId="3729"/>
    <cellStyle name="百分比 4 10 10" xfId="3730"/>
    <cellStyle name="百分比 4 10 11" xfId="3731"/>
    <cellStyle name="百分比 4 10 12" xfId="3732"/>
    <cellStyle name="百分比 4 10 13" xfId="3733"/>
    <cellStyle name="百分比 4 10 2" xfId="3734"/>
    <cellStyle name="百分比 4 10 2 2" xfId="3735"/>
    <cellStyle name="百分比 4 10 2 2 2" xfId="3736"/>
    <cellStyle name="百分比 4 10 2 2 3" xfId="3737"/>
    <cellStyle name="百分比 4 10 2 2 4" xfId="3738"/>
    <cellStyle name="百分比 4 10 2 2 5" xfId="3739"/>
    <cellStyle name="百分比 4 10 2 2 6" xfId="3740"/>
    <cellStyle name="百分比 4 10 2 3" xfId="3741"/>
    <cellStyle name="百分比 4 10 2 4" xfId="3742"/>
    <cellStyle name="百分比 4 10 2 5" xfId="3743"/>
    <cellStyle name="百分比 4 10 2 6" xfId="3744"/>
    <cellStyle name="百分比 4 10 2 7" xfId="3745"/>
    <cellStyle name="百分比 4 10 2 8" xfId="3746"/>
    <cellStyle name="百分比 4 10 3" xfId="3747"/>
    <cellStyle name="百分比 4 10 3 2" xfId="3748"/>
    <cellStyle name="百分比 4 10 3 2 2" xfId="3749"/>
    <cellStyle name="百分比 4 10 3 2 3" xfId="3750"/>
    <cellStyle name="百分比 4 10 3 2 4" xfId="3751"/>
    <cellStyle name="百分比 4 10 3 2 5" xfId="3752"/>
    <cellStyle name="百分比 4 10 3 2 6" xfId="3753"/>
    <cellStyle name="百分比 4 10 3 3" xfId="3754"/>
    <cellStyle name="百分比 4 10 3 4" xfId="3755"/>
    <cellStyle name="百分比 4 10 3 5" xfId="3756"/>
    <cellStyle name="百分比 4 10 3 6" xfId="3757"/>
    <cellStyle name="百分比 4 10 3 7" xfId="3758"/>
    <cellStyle name="百分比 4 10 3 8" xfId="3759"/>
    <cellStyle name="百分比 4 10 4" xfId="3760"/>
    <cellStyle name="百分比 4 10 4 2" xfId="3761"/>
    <cellStyle name="百分比 4 10 4 2 2" xfId="3762"/>
    <cellStyle name="百分比 4 10 4 2 3" xfId="3763"/>
    <cellStyle name="百分比 4 10 4 2 4" xfId="3764"/>
    <cellStyle name="百分比 4 10 4 2 5" xfId="3765"/>
    <cellStyle name="百分比 4 10 4 2 6" xfId="3766"/>
    <cellStyle name="百分比 4 10 4 3" xfId="3767"/>
    <cellStyle name="百分比 4 10 4 4" xfId="3768"/>
    <cellStyle name="百分比 4 10 4 5" xfId="3769"/>
    <cellStyle name="百分比 4 10 4 6" xfId="3770"/>
    <cellStyle name="百分比 4 10 4 7" xfId="3771"/>
    <cellStyle name="百分比 4 10 5" xfId="3772"/>
    <cellStyle name="百分比 4 10 5 2" xfId="3773"/>
    <cellStyle name="百分比 4 10 5 2 2" xfId="3774"/>
    <cellStyle name="百分比 4 10 5 2 3" xfId="3775"/>
    <cellStyle name="百分比 4 10 5 2 4" xfId="3776"/>
    <cellStyle name="百分比 4 10 5 2 5" xfId="3777"/>
    <cellStyle name="百分比 4 10 5 2 6" xfId="3778"/>
    <cellStyle name="百分比 4 10 5 3" xfId="3779"/>
    <cellStyle name="百分比 4 10 5 4" xfId="3780"/>
    <cellStyle name="百分比 4 10 5 5" xfId="3781"/>
    <cellStyle name="百分比 4 10 5 6" xfId="3782"/>
    <cellStyle name="百分比 4 10 5 7" xfId="3783"/>
    <cellStyle name="百分比 4 10 6" xfId="3784"/>
    <cellStyle name="百分比 4 10 6 2" xfId="3785"/>
    <cellStyle name="百分比 4 10 6 2 2" xfId="3786"/>
    <cellStyle name="百分比 4 10 6 2 3" xfId="3787"/>
    <cellStyle name="百分比 4 10 6 2 4" xfId="3788"/>
    <cellStyle name="百分比 4 10 6 2 5" xfId="3789"/>
    <cellStyle name="百分比 4 10 6 2 6" xfId="3790"/>
    <cellStyle name="百分比 4 10 6 3" xfId="3791"/>
    <cellStyle name="百分比 4 10 6 4" xfId="3792"/>
    <cellStyle name="百分比 4 10 6 5" xfId="3793"/>
    <cellStyle name="百分比 4 10 6 6" xfId="3794"/>
    <cellStyle name="百分比 4 10 6 7" xfId="3795"/>
    <cellStyle name="百分比 4 10 7" xfId="3796"/>
    <cellStyle name="百分比 4 10 7 2" xfId="3797"/>
    <cellStyle name="百分比 4 10 7 3" xfId="3798"/>
    <cellStyle name="百分比 4 10 7 4" xfId="3799"/>
    <cellStyle name="百分比 4 10 7 5" xfId="3800"/>
    <cellStyle name="百分比 4 10 7 6" xfId="3801"/>
    <cellStyle name="百分比 4 10 8" xfId="3802"/>
    <cellStyle name="百分比 4 10 9" xfId="3803"/>
    <cellStyle name="百分比 4 11" xfId="3804"/>
    <cellStyle name="百分比 4 11 10" xfId="3805"/>
    <cellStyle name="百分比 4 11 11" xfId="3806"/>
    <cellStyle name="百分比 4 11 12" xfId="3807"/>
    <cellStyle name="百分比 4 11 2" xfId="3808"/>
    <cellStyle name="百分比 4 11 2 2" xfId="3809"/>
    <cellStyle name="百分比 4 11 2 2 2" xfId="3810"/>
    <cellStyle name="百分比 4 11 2 2 3" xfId="3811"/>
    <cellStyle name="百分比 4 11 2 2 4" xfId="3812"/>
    <cellStyle name="百分比 4 11 2 2 5" xfId="3813"/>
    <cellStyle name="百分比 4 11 2 2 6" xfId="3814"/>
    <cellStyle name="百分比 4 11 2 3" xfId="3815"/>
    <cellStyle name="百分比 4 11 2 4" xfId="3816"/>
    <cellStyle name="百分比 4 11 2 5" xfId="3817"/>
    <cellStyle name="百分比 4 11 2 6" xfId="3818"/>
    <cellStyle name="百分比 4 11 2 7" xfId="3819"/>
    <cellStyle name="百分比 4 11 3" xfId="3820"/>
    <cellStyle name="百分比 4 11 3 2" xfId="3821"/>
    <cellStyle name="百分比 4 11 3 2 2" xfId="3822"/>
    <cellStyle name="百分比 4 11 3 2 3" xfId="3823"/>
    <cellStyle name="百分比 4 11 3 2 4" xfId="3824"/>
    <cellStyle name="百分比 4 11 3 2 5" xfId="3825"/>
    <cellStyle name="百分比 4 11 3 2 6" xfId="3826"/>
    <cellStyle name="百分比 4 11 3 3" xfId="3827"/>
    <cellStyle name="百分比 4 11 3 4" xfId="3828"/>
    <cellStyle name="百分比 4 11 3 5" xfId="3829"/>
    <cellStyle name="百分比 4 11 3 6" xfId="3830"/>
    <cellStyle name="百分比 4 11 3 7" xfId="3831"/>
    <cellStyle name="百分比 4 11 4" xfId="3832"/>
    <cellStyle name="百分比 4 11 4 2" xfId="3833"/>
    <cellStyle name="百分比 4 11 4 2 2" xfId="3834"/>
    <cellStyle name="百分比 4 11 4 2 3" xfId="3835"/>
    <cellStyle name="百分比 4 11 4 2 4" xfId="3836"/>
    <cellStyle name="百分比 4 11 4 2 5" xfId="3837"/>
    <cellStyle name="百分比 4 11 4 2 6" xfId="3838"/>
    <cellStyle name="百分比 4 11 4 3" xfId="3839"/>
    <cellStyle name="百分比 4 11 4 4" xfId="3840"/>
    <cellStyle name="百分比 4 11 4 5" xfId="3841"/>
    <cellStyle name="百分比 4 11 4 6" xfId="3842"/>
    <cellStyle name="百分比 4 11 4 7" xfId="3843"/>
    <cellStyle name="百分比 4 11 5" xfId="3844"/>
    <cellStyle name="百分比 4 11 5 2" xfId="3845"/>
    <cellStyle name="百分比 4 11 5 2 2" xfId="3846"/>
    <cellStyle name="百分比 4 11 5 2 3" xfId="3847"/>
    <cellStyle name="百分比 4 11 5 2 4" xfId="3848"/>
    <cellStyle name="百分比 4 11 5 2 5" xfId="3849"/>
    <cellStyle name="百分比 4 11 5 2 6" xfId="3850"/>
    <cellStyle name="百分比 4 11 5 3" xfId="3851"/>
    <cellStyle name="百分比 4 11 5 4" xfId="3852"/>
    <cellStyle name="百分比 4 11 5 5" xfId="3853"/>
    <cellStyle name="百分比 4 11 5 6" xfId="3854"/>
    <cellStyle name="百分比 4 11 5 7" xfId="3855"/>
    <cellStyle name="百分比 4 11 6" xfId="3856"/>
    <cellStyle name="百分比 4 11 6 2" xfId="3857"/>
    <cellStyle name="百分比 4 11 6 3" xfId="3858"/>
    <cellStyle name="百分比 4 11 6 4" xfId="3859"/>
    <cellStyle name="百分比 4 11 6 5" xfId="3860"/>
    <cellStyle name="百分比 4 11 6 6" xfId="3861"/>
    <cellStyle name="百分比 4 11 7" xfId="3862"/>
    <cellStyle name="百分比 4 11 8" xfId="3863"/>
    <cellStyle name="百分比 4 11 9" xfId="3864"/>
    <cellStyle name="百分比 4 12" xfId="3865"/>
    <cellStyle name="百分比 4 12 10" xfId="3866"/>
    <cellStyle name="百分比 4 12 11" xfId="3867"/>
    <cellStyle name="百分比 4 12 2" xfId="3868"/>
    <cellStyle name="百分比 4 12 2 2" xfId="3869"/>
    <cellStyle name="百分比 4 12 2 2 2" xfId="3870"/>
    <cellStyle name="百分比 4 12 2 2 3" xfId="3871"/>
    <cellStyle name="百分比 4 12 2 2 4" xfId="3872"/>
    <cellStyle name="百分比 4 12 2 2 5" xfId="3873"/>
    <cellStyle name="百分比 4 12 2 2 6" xfId="3874"/>
    <cellStyle name="百分比 4 12 2 3" xfId="3875"/>
    <cellStyle name="百分比 4 12 2 4" xfId="3876"/>
    <cellStyle name="百分比 4 12 2 5" xfId="3877"/>
    <cellStyle name="百分比 4 12 2 6" xfId="3878"/>
    <cellStyle name="百分比 4 12 2 7" xfId="3879"/>
    <cellStyle name="百分比 4 12 3" xfId="3880"/>
    <cellStyle name="百分比 4 12 3 2" xfId="3881"/>
    <cellStyle name="百分比 4 12 3 2 2" xfId="3882"/>
    <cellStyle name="百分比 4 12 3 2 3" xfId="3883"/>
    <cellStyle name="百分比 4 12 3 2 4" xfId="3884"/>
    <cellStyle name="百分比 4 12 3 2 5" xfId="3885"/>
    <cellStyle name="百分比 4 12 3 2 6" xfId="3886"/>
    <cellStyle name="百分比 4 12 3 3" xfId="3887"/>
    <cellStyle name="百分比 4 12 3 4" xfId="3888"/>
    <cellStyle name="百分比 4 12 3 5" xfId="3889"/>
    <cellStyle name="百分比 4 12 3 6" xfId="3890"/>
    <cellStyle name="百分比 4 12 3 7" xfId="3891"/>
    <cellStyle name="百分比 4 12 4" xfId="3892"/>
    <cellStyle name="百分比 4 12 4 2" xfId="3893"/>
    <cellStyle name="百分比 4 12 4 2 2" xfId="3894"/>
    <cellStyle name="百分比 4 12 4 2 3" xfId="3895"/>
    <cellStyle name="百分比 4 12 4 2 4" xfId="3896"/>
    <cellStyle name="百分比 4 12 4 2 5" xfId="3897"/>
    <cellStyle name="百分比 4 12 4 2 6" xfId="3898"/>
    <cellStyle name="百分比 4 12 4 3" xfId="3899"/>
    <cellStyle name="百分比 4 12 4 4" xfId="3900"/>
    <cellStyle name="百分比 4 12 4 5" xfId="3901"/>
    <cellStyle name="百分比 4 12 4 6" xfId="3902"/>
    <cellStyle name="百分比 4 12 4 7" xfId="3903"/>
    <cellStyle name="百分比 4 12 5" xfId="3904"/>
    <cellStyle name="百分比 4 12 5 2" xfId="3905"/>
    <cellStyle name="百分比 4 12 5 3" xfId="3906"/>
    <cellStyle name="百分比 4 12 5 4" xfId="3907"/>
    <cellStyle name="百分比 4 12 5 5" xfId="3908"/>
    <cellStyle name="百分比 4 12 5 6" xfId="3909"/>
    <cellStyle name="百分比 4 12 6" xfId="3910"/>
    <cellStyle name="百分比 4 12 7" xfId="3911"/>
    <cellStyle name="百分比 4 12 8" xfId="3912"/>
    <cellStyle name="百分比 4 12 9" xfId="3913"/>
    <cellStyle name="百分比 4 13" xfId="3914"/>
    <cellStyle name="百分比 4 13 10" xfId="3915"/>
    <cellStyle name="百分比 4 13 2" xfId="3916"/>
    <cellStyle name="百分比 4 13 2 2" xfId="3917"/>
    <cellStyle name="百分比 4 13 2 2 2" xfId="3918"/>
    <cellStyle name="百分比 4 13 2 2 3" xfId="3919"/>
    <cellStyle name="百分比 4 13 2 2 4" xfId="3920"/>
    <cellStyle name="百分比 4 13 2 2 5" xfId="3921"/>
    <cellStyle name="百分比 4 13 2 2 6" xfId="3922"/>
    <cellStyle name="百分比 4 13 2 3" xfId="3923"/>
    <cellStyle name="百分比 4 13 2 4" xfId="3924"/>
    <cellStyle name="百分比 4 13 2 5" xfId="3925"/>
    <cellStyle name="百分比 4 13 2 6" xfId="3926"/>
    <cellStyle name="百分比 4 13 2 7" xfId="3927"/>
    <cellStyle name="百分比 4 13 3" xfId="3928"/>
    <cellStyle name="百分比 4 13 3 2" xfId="3929"/>
    <cellStyle name="百分比 4 13 3 2 2" xfId="3930"/>
    <cellStyle name="百分比 4 13 3 2 3" xfId="3931"/>
    <cellStyle name="百分比 4 13 3 2 4" xfId="3932"/>
    <cellStyle name="百分比 4 13 3 2 5" xfId="3933"/>
    <cellStyle name="百分比 4 13 3 2 6" xfId="3934"/>
    <cellStyle name="百分比 4 13 3 3" xfId="3935"/>
    <cellStyle name="百分比 4 13 3 4" xfId="3936"/>
    <cellStyle name="百分比 4 13 3 5" xfId="3937"/>
    <cellStyle name="百分比 4 13 3 6" xfId="3938"/>
    <cellStyle name="百分比 4 13 3 7" xfId="3939"/>
    <cellStyle name="百分比 4 13 4" xfId="3940"/>
    <cellStyle name="百分比 4 13 4 2" xfId="3941"/>
    <cellStyle name="百分比 4 13 4 3" xfId="3942"/>
    <cellStyle name="百分比 4 13 4 4" xfId="3943"/>
    <cellStyle name="百分比 4 13 4 5" xfId="3944"/>
    <cellStyle name="百分比 4 13 4 6" xfId="3945"/>
    <cellStyle name="百分比 4 13 5" xfId="3946"/>
    <cellStyle name="百分比 4 13 6" xfId="3947"/>
    <cellStyle name="百分比 4 13 7" xfId="3948"/>
    <cellStyle name="百分比 4 13 8" xfId="3949"/>
    <cellStyle name="百分比 4 13 9" xfId="3950"/>
    <cellStyle name="百分比 4 14" xfId="3951"/>
    <cellStyle name="百分比 4 14 2" xfId="3952"/>
    <cellStyle name="百分比 4 14 2 2" xfId="3953"/>
    <cellStyle name="百分比 4 14 2 2 2" xfId="3954"/>
    <cellStyle name="百分比 4 14 2 2 3" xfId="3955"/>
    <cellStyle name="百分比 4 14 2 2 4" xfId="3956"/>
    <cellStyle name="百分比 4 14 2 2 5" xfId="3957"/>
    <cellStyle name="百分比 4 14 2 2 6" xfId="3958"/>
    <cellStyle name="百分比 4 14 2 3" xfId="3959"/>
    <cellStyle name="百分比 4 14 2 4" xfId="3960"/>
    <cellStyle name="百分比 4 14 2 5" xfId="3961"/>
    <cellStyle name="百分比 4 14 2 6" xfId="3962"/>
    <cellStyle name="百分比 4 14 2 7" xfId="3963"/>
    <cellStyle name="百分比 4 14 3" xfId="3964"/>
    <cellStyle name="百分比 4 14 3 2" xfId="3965"/>
    <cellStyle name="百分比 4 14 3 3" xfId="3966"/>
    <cellStyle name="百分比 4 14 3 4" xfId="3967"/>
    <cellStyle name="百分比 4 14 3 5" xfId="3968"/>
    <cellStyle name="百分比 4 14 3 6" xfId="3969"/>
    <cellStyle name="百分比 4 14 4" xfId="3970"/>
    <cellStyle name="百分比 4 14 5" xfId="3971"/>
    <cellStyle name="百分比 4 14 6" xfId="3972"/>
    <cellStyle name="百分比 4 14 7" xfId="3973"/>
    <cellStyle name="百分比 4 14 8" xfId="3974"/>
    <cellStyle name="百分比 4 14 9" xfId="3975"/>
    <cellStyle name="百分比 4 15" xfId="3976"/>
    <cellStyle name="百分比 4 15 2" xfId="3977"/>
    <cellStyle name="百分比 4 15 2 2" xfId="3978"/>
    <cellStyle name="百分比 4 15 2 2 2" xfId="3979"/>
    <cellStyle name="百分比 4 15 2 2 3" xfId="3980"/>
    <cellStyle name="百分比 4 15 2 2 4" xfId="3981"/>
    <cellStyle name="百分比 4 15 2 2 5" xfId="3982"/>
    <cellStyle name="百分比 4 15 2 2 6" xfId="3983"/>
    <cellStyle name="百分比 4 15 2 3" xfId="3984"/>
    <cellStyle name="百分比 4 15 2 4" xfId="3985"/>
    <cellStyle name="百分比 4 15 2 5" xfId="3986"/>
    <cellStyle name="百分比 4 15 2 6" xfId="3987"/>
    <cellStyle name="百分比 4 15 2 7" xfId="3988"/>
    <cellStyle name="百分比 4 15 3" xfId="3989"/>
    <cellStyle name="百分比 4 15 3 2" xfId="3990"/>
    <cellStyle name="百分比 4 15 3 3" xfId="3991"/>
    <cellStyle name="百分比 4 15 3 4" xfId="3992"/>
    <cellStyle name="百分比 4 15 3 5" xfId="3993"/>
    <cellStyle name="百分比 4 15 3 6" xfId="3994"/>
    <cellStyle name="百分比 4 15 4" xfId="3995"/>
    <cellStyle name="百分比 4 15 5" xfId="3996"/>
    <cellStyle name="百分比 4 15 6" xfId="3997"/>
    <cellStyle name="百分比 4 15 7" xfId="3998"/>
    <cellStyle name="百分比 4 15 8" xfId="3999"/>
    <cellStyle name="百分比 4 16" xfId="4000"/>
    <cellStyle name="百分比 4 16 2" xfId="4001"/>
    <cellStyle name="百分比 4 16 2 2" xfId="4002"/>
    <cellStyle name="百分比 4 16 2 2 2" xfId="4003"/>
    <cellStyle name="百分比 4 16 2 2 3" xfId="4004"/>
    <cellStyle name="百分比 4 16 2 2 4" xfId="4005"/>
    <cellStyle name="百分比 4 16 2 2 5" xfId="4006"/>
    <cellStyle name="百分比 4 16 2 2 6" xfId="4007"/>
    <cellStyle name="百分比 4 16 2 3" xfId="4008"/>
    <cellStyle name="百分比 4 16 2 4" xfId="4009"/>
    <cellStyle name="百分比 4 16 2 5" xfId="4010"/>
    <cellStyle name="百分比 4 16 2 6" xfId="4011"/>
    <cellStyle name="百分比 4 16 2 7" xfId="4012"/>
    <cellStyle name="百分比 4 16 3" xfId="4013"/>
    <cellStyle name="百分比 4 16 3 2" xfId="4014"/>
    <cellStyle name="百分比 4 16 3 3" xfId="4015"/>
    <cellStyle name="百分比 4 16 3 4" xfId="4016"/>
    <cellStyle name="百分比 4 16 3 5" xfId="4017"/>
    <cellStyle name="百分比 4 16 3 6" xfId="4018"/>
    <cellStyle name="百分比 4 16 4" xfId="4019"/>
    <cellStyle name="百分比 4 16 5" xfId="4020"/>
    <cellStyle name="百分比 4 16 6" xfId="4021"/>
    <cellStyle name="百分比 4 16 7" xfId="4022"/>
    <cellStyle name="百分比 4 16 8" xfId="4023"/>
    <cellStyle name="百分比 4 17" xfId="4024"/>
    <cellStyle name="百分比 4 17 2" xfId="4025"/>
    <cellStyle name="百分比 4 17 2 2" xfId="4026"/>
    <cellStyle name="百分比 4 17 2 2 2" xfId="4027"/>
    <cellStyle name="百分比 4 17 2 2 3" xfId="4028"/>
    <cellStyle name="百分比 4 17 2 2 4" xfId="4029"/>
    <cellStyle name="百分比 4 17 2 2 5" xfId="4030"/>
    <cellStyle name="百分比 4 17 2 2 6" xfId="4031"/>
    <cellStyle name="百分比 4 17 2 3" xfId="4032"/>
    <cellStyle name="百分比 4 17 2 4" xfId="4033"/>
    <cellStyle name="百分比 4 17 2 5" xfId="4034"/>
    <cellStyle name="百分比 4 17 2 6" xfId="4035"/>
    <cellStyle name="百分比 4 17 2 7" xfId="4036"/>
    <cellStyle name="百分比 4 17 3" xfId="4037"/>
    <cellStyle name="百分比 4 17 3 2" xfId="4038"/>
    <cellStyle name="百分比 4 17 3 3" xfId="4039"/>
    <cellStyle name="百分比 4 17 3 4" xfId="4040"/>
    <cellStyle name="百分比 4 17 3 5" xfId="4041"/>
    <cellStyle name="百分比 4 17 3 6" xfId="4042"/>
    <cellStyle name="百分比 4 17 4" xfId="4043"/>
    <cellStyle name="百分比 4 17 5" xfId="4044"/>
    <cellStyle name="百分比 4 17 6" xfId="4045"/>
    <cellStyle name="百分比 4 17 7" xfId="4046"/>
    <cellStyle name="百分比 4 17 8" xfId="4047"/>
    <cellStyle name="百分比 4 18" xfId="4048"/>
    <cellStyle name="百分比 4 18 2" xfId="4049"/>
    <cellStyle name="百分比 4 18 2 2" xfId="4050"/>
    <cellStyle name="百分比 4 18 2 3" xfId="4051"/>
    <cellStyle name="百分比 4 18 2 4" xfId="4052"/>
    <cellStyle name="百分比 4 18 2 5" xfId="4053"/>
    <cellStyle name="百分比 4 18 2 6" xfId="4054"/>
    <cellStyle name="百分比 4 18 3" xfId="4055"/>
    <cellStyle name="百分比 4 18 4" xfId="4056"/>
    <cellStyle name="百分比 4 18 5" xfId="4057"/>
    <cellStyle name="百分比 4 18 6" xfId="4058"/>
    <cellStyle name="百分比 4 18 7" xfId="4059"/>
    <cellStyle name="百分比 4 19" xfId="4060"/>
    <cellStyle name="百分比 4 19 2" xfId="4061"/>
    <cellStyle name="百分比 4 19 2 2" xfId="4062"/>
    <cellStyle name="百分比 4 19 2 3" xfId="4063"/>
    <cellStyle name="百分比 4 19 2 4" xfId="4064"/>
    <cellStyle name="百分比 4 19 2 5" xfId="4065"/>
    <cellStyle name="百分比 4 19 2 6" xfId="4066"/>
    <cellStyle name="百分比 4 19 3" xfId="4067"/>
    <cellStyle name="百分比 4 19 4" xfId="4068"/>
    <cellStyle name="百分比 4 19 5" xfId="4069"/>
    <cellStyle name="百分比 4 19 6" xfId="4070"/>
    <cellStyle name="百分比 4 19 7" xfId="4071"/>
    <cellStyle name="百分比 4 2" xfId="4072"/>
    <cellStyle name="百分比 4 2 10" xfId="4073"/>
    <cellStyle name="百分比 4 2 10 10" xfId="4074"/>
    <cellStyle name="百分比 4 2 10 11" xfId="4075"/>
    <cellStyle name="百分比 4 2 10 2" xfId="4076"/>
    <cellStyle name="百分比 4 2 10 2 2" xfId="4077"/>
    <cellStyle name="百分比 4 2 10 2 2 2" xfId="4078"/>
    <cellStyle name="百分比 4 2 10 2 2 3" xfId="4079"/>
    <cellStyle name="百分比 4 2 10 2 2 4" xfId="4080"/>
    <cellStyle name="百分比 4 2 10 2 2 5" xfId="4081"/>
    <cellStyle name="百分比 4 2 10 2 2 6" xfId="4082"/>
    <cellStyle name="百分比 4 2 10 2 3" xfId="4083"/>
    <cellStyle name="百分比 4 2 10 2 4" xfId="4084"/>
    <cellStyle name="百分比 4 2 10 2 5" xfId="4085"/>
    <cellStyle name="百分比 4 2 10 2 6" xfId="4086"/>
    <cellStyle name="百分比 4 2 10 2 7" xfId="4087"/>
    <cellStyle name="百分比 4 2 10 3" xfId="4088"/>
    <cellStyle name="百分比 4 2 10 3 2" xfId="4089"/>
    <cellStyle name="百分比 4 2 10 3 2 2" xfId="4090"/>
    <cellStyle name="百分比 4 2 10 3 2 3" xfId="4091"/>
    <cellStyle name="百分比 4 2 10 3 2 4" xfId="4092"/>
    <cellStyle name="百分比 4 2 10 3 2 5" xfId="4093"/>
    <cellStyle name="百分比 4 2 10 3 2 6" xfId="4094"/>
    <cellStyle name="百分比 4 2 10 3 3" xfId="4095"/>
    <cellStyle name="百分比 4 2 10 3 4" xfId="4096"/>
    <cellStyle name="百分比 4 2 10 3 5" xfId="4097"/>
    <cellStyle name="百分比 4 2 10 3 6" xfId="4098"/>
    <cellStyle name="百分比 4 2 10 3 7" xfId="4099"/>
    <cellStyle name="百分比 4 2 10 4" xfId="4100"/>
    <cellStyle name="百分比 4 2 10 4 2" xfId="4101"/>
    <cellStyle name="百分比 4 2 10 4 2 2" xfId="4102"/>
    <cellStyle name="百分比 4 2 10 4 2 3" xfId="4103"/>
    <cellStyle name="百分比 4 2 10 4 2 4" xfId="4104"/>
    <cellStyle name="百分比 4 2 10 4 2 5" xfId="4105"/>
    <cellStyle name="百分比 4 2 10 4 2 6" xfId="4106"/>
    <cellStyle name="百分比 4 2 10 4 3" xfId="4107"/>
    <cellStyle name="百分比 4 2 10 4 4" xfId="4108"/>
    <cellStyle name="百分比 4 2 10 4 5" xfId="4109"/>
    <cellStyle name="百分比 4 2 10 4 6" xfId="4110"/>
    <cellStyle name="百分比 4 2 10 4 7" xfId="4111"/>
    <cellStyle name="百分比 4 2 10 5" xfId="4112"/>
    <cellStyle name="百分比 4 2 10 5 2" xfId="4113"/>
    <cellStyle name="百分比 4 2 10 5 3" xfId="4114"/>
    <cellStyle name="百分比 4 2 10 5 4" xfId="4115"/>
    <cellStyle name="百分比 4 2 10 5 5" xfId="4116"/>
    <cellStyle name="百分比 4 2 10 5 6" xfId="4117"/>
    <cellStyle name="百分比 4 2 10 6" xfId="4118"/>
    <cellStyle name="百分比 4 2 10 7" xfId="4119"/>
    <cellStyle name="百分比 4 2 10 8" xfId="4120"/>
    <cellStyle name="百分比 4 2 10 9" xfId="4121"/>
    <cellStyle name="百分比 4 2 11" xfId="4122"/>
    <cellStyle name="百分比 4 2 11 2" xfId="4123"/>
    <cellStyle name="百分比 4 2 11 2 2" xfId="4124"/>
    <cellStyle name="百分比 4 2 11 2 2 2" xfId="4125"/>
    <cellStyle name="百分比 4 2 11 2 2 3" xfId="4126"/>
    <cellStyle name="百分比 4 2 11 2 2 4" xfId="4127"/>
    <cellStyle name="百分比 4 2 11 2 2 5" xfId="4128"/>
    <cellStyle name="百分比 4 2 11 2 2 6" xfId="4129"/>
    <cellStyle name="百分比 4 2 11 2 3" xfId="4130"/>
    <cellStyle name="百分比 4 2 11 2 4" xfId="4131"/>
    <cellStyle name="百分比 4 2 11 2 5" xfId="4132"/>
    <cellStyle name="百分比 4 2 11 2 6" xfId="4133"/>
    <cellStyle name="百分比 4 2 11 2 7" xfId="4134"/>
    <cellStyle name="百分比 4 2 11 3" xfId="4135"/>
    <cellStyle name="百分比 4 2 11 3 2" xfId="4136"/>
    <cellStyle name="百分比 4 2 11 3 2 2" xfId="4137"/>
    <cellStyle name="百分比 4 2 11 3 2 3" xfId="4138"/>
    <cellStyle name="百分比 4 2 11 3 2 4" xfId="4139"/>
    <cellStyle name="百分比 4 2 11 3 2 5" xfId="4140"/>
    <cellStyle name="百分比 4 2 11 3 2 6" xfId="4141"/>
    <cellStyle name="百分比 4 2 11 3 3" xfId="4142"/>
    <cellStyle name="百分比 4 2 11 3 4" xfId="4143"/>
    <cellStyle name="百分比 4 2 11 3 5" xfId="4144"/>
    <cellStyle name="百分比 4 2 11 3 6" xfId="4145"/>
    <cellStyle name="百分比 4 2 11 3 7" xfId="4146"/>
    <cellStyle name="百分比 4 2 11 4" xfId="4147"/>
    <cellStyle name="百分比 4 2 11 4 2" xfId="4148"/>
    <cellStyle name="百分比 4 2 11 4 3" xfId="4149"/>
    <cellStyle name="百分比 4 2 11 4 4" xfId="4150"/>
    <cellStyle name="百分比 4 2 11 4 5" xfId="4151"/>
    <cellStyle name="百分比 4 2 11 4 6" xfId="4152"/>
    <cellStyle name="百分比 4 2 11 5" xfId="4153"/>
    <cellStyle name="百分比 4 2 11 6" xfId="4154"/>
    <cellStyle name="百分比 4 2 11 7" xfId="4155"/>
    <cellStyle name="百分比 4 2 11 8" xfId="4156"/>
    <cellStyle name="百分比 4 2 11 9" xfId="4157"/>
    <cellStyle name="百分比 4 2 12" xfId="4158"/>
    <cellStyle name="百分比 4 2 12 2" xfId="4159"/>
    <cellStyle name="百分比 4 2 12 2 2" xfId="4160"/>
    <cellStyle name="百分比 4 2 12 2 2 2" xfId="4161"/>
    <cellStyle name="百分比 4 2 12 2 2 3" xfId="4162"/>
    <cellStyle name="百分比 4 2 12 2 2 4" xfId="4163"/>
    <cellStyle name="百分比 4 2 12 2 2 5" xfId="4164"/>
    <cellStyle name="百分比 4 2 12 2 2 6" xfId="4165"/>
    <cellStyle name="百分比 4 2 12 2 3" xfId="4166"/>
    <cellStyle name="百分比 4 2 12 2 4" xfId="4167"/>
    <cellStyle name="百分比 4 2 12 2 5" xfId="4168"/>
    <cellStyle name="百分比 4 2 12 2 6" xfId="4169"/>
    <cellStyle name="百分比 4 2 12 2 7" xfId="4170"/>
    <cellStyle name="百分比 4 2 12 3" xfId="4171"/>
    <cellStyle name="百分比 4 2 12 3 2" xfId="4172"/>
    <cellStyle name="百分比 4 2 12 3 3" xfId="4173"/>
    <cellStyle name="百分比 4 2 12 3 4" xfId="4174"/>
    <cellStyle name="百分比 4 2 12 3 5" xfId="4175"/>
    <cellStyle name="百分比 4 2 12 3 6" xfId="4176"/>
    <cellStyle name="百分比 4 2 12 4" xfId="4177"/>
    <cellStyle name="百分比 4 2 12 5" xfId="4178"/>
    <cellStyle name="百分比 4 2 12 6" xfId="4179"/>
    <cellStyle name="百分比 4 2 12 7" xfId="4180"/>
    <cellStyle name="百分比 4 2 12 8" xfId="4181"/>
    <cellStyle name="百分比 4 2 13" xfId="4182"/>
    <cellStyle name="百分比 4 2 13 2" xfId="4183"/>
    <cellStyle name="百分比 4 2 13 2 2" xfId="4184"/>
    <cellStyle name="百分比 4 2 13 2 2 2" xfId="4185"/>
    <cellStyle name="百分比 4 2 13 2 2 3" xfId="4186"/>
    <cellStyle name="百分比 4 2 13 2 2 4" xfId="4187"/>
    <cellStyle name="百分比 4 2 13 2 2 5" xfId="4188"/>
    <cellStyle name="百分比 4 2 13 2 2 6" xfId="4189"/>
    <cellStyle name="百分比 4 2 13 2 3" xfId="4190"/>
    <cellStyle name="百分比 4 2 13 2 4" xfId="4191"/>
    <cellStyle name="百分比 4 2 13 2 5" xfId="4192"/>
    <cellStyle name="百分比 4 2 13 2 6" xfId="4193"/>
    <cellStyle name="百分比 4 2 13 2 7" xfId="4194"/>
    <cellStyle name="百分比 4 2 13 3" xfId="4195"/>
    <cellStyle name="百分比 4 2 13 3 2" xfId="4196"/>
    <cellStyle name="百分比 4 2 13 3 3" xfId="4197"/>
    <cellStyle name="百分比 4 2 13 3 4" xfId="4198"/>
    <cellStyle name="百分比 4 2 13 3 5" xfId="4199"/>
    <cellStyle name="百分比 4 2 13 3 6" xfId="4200"/>
    <cellStyle name="百分比 4 2 13 4" xfId="4201"/>
    <cellStyle name="百分比 4 2 13 5" xfId="4202"/>
    <cellStyle name="百分比 4 2 13 6" xfId="4203"/>
    <cellStyle name="百分比 4 2 13 7" xfId="4204"/>
    <cellStyle name="百分比 4 2 13 8" xfId="4205"/>
    <cellStyle name="百分比 4 2 14" xfId="4206"/>
    <cellStyle name="百分比 4 2 14 2" xfId="4207"/>
    <cellStyle name="百分比 4 2 14 2 2" xfId="4208"/>
    <cellStyle name="百分比 4 2 14 2 2 2" xfId="4209"/>
    <cellStyle name="百分比 4 2 14 2 2 3" xfId="4210"/>
    <cellStyle name="百分比 4 2 14 2 2 4" xfId="4211"/>
    <cellStyle name="百分比 4 2 14 2 2 5" xfId="4212"/>
    <cellStyle name="百分比 4 2 14 2 2 6" xfId="4213"/>
    <cellStyle name="百分比 4 2 14 2 3" xfId="4214"/>
    <cellStyle name="百分比 4 2 14 2 4" xfId="4215"/>
    <cellStyle name="百分比 4 2 14 2 5" xfId="4216"/>
    <cellStyle name="百分比 4 2 14 2 6" xfId="4217"/>
    <cellStyle name="百分比 4 2 14 2 7" xfId="4218"/>
    <cellStyle name="百分比 4 2 14 3" xfId="4219"/>
    <cellStyle name="百分比 4 2 14 3 2" xfId="4220"/>
    <cellStyle name="百分比 4 2 14 3 3" xfId="4221"/>
    <cellStyle name="百分比 4 2 14 3 4" xfId="4222"/>
    <cellStyle name="百分比 4 2 14 3 5" xfId="4223"/>
    <cellStyle name="百分比 4 2 14 3 6" xfId="4224"/>
    <cellStyle name="百分比 4 2 14 4" xfId="4225"/>
    <cellStyle name="百分比 4 2 14 5" xfId="4226"/>
    <cellStyle name="百分比 4 2 14 6" xfId="4227"/>
    <cellStyle name="百分比 4 2 14 7" xfId="4228"/>
    <cellStyle name="百分比 4 2 14 8" xfId="4229"/>
    <cellStyle name="百分比 4 2 15" xfId="4230"/>
    <cellStyle name="百分比 4 2 15 2" xfId="4231"/>
    <cellStyle name="百分比 4 2 15 2 2" xfId="4232"/>
    <cellStyle name="百分比 4 2 15 2 2 2" xfId="4233"/>
    <cellStyle name="百分比 4 2 15 2 2 3" xfId="4234"/>
    <cellStyle name="百分比 4 2 15 2 2 4" xfId="4235"/>
    <cellStyle name="百分比 4 2 15 2 2 5" xfId="4236"/>
    <cellStyle name="百分比 4 2 15 2 2 6" xfId="4237"/>
    <cellStyle name="百分比 4 2 15 2 3" xfId="4238"/>
    <cellStyle name="百分比 4 2 15 2 4" xfId="4239"/>
    <cellStyle name="百分比 4 2 15 2 5" xfId="4240"/>
    <cellStyle name="百分比 4 2 15 2 6" xfId="4241"/>
    <cellStyle name="百分比 4 2 15 2 7" xfId="4242"/>
    <cellStyle name="百分比 4 2 15 3" xfId="4243"/>
    <cellStyle name="百分比 4 2 15 3 2" xfId="4244"/>
    <cellStyle name="百分比 4 2 15 3 3" xfId="4245"/>
    <cellStyle name="百分比 4 2 15 3 4" xfId="4246"/>
    <cellStyle name="百分比 4 2 15 3 5" xfId="4247"/>
    <cellStyle name="百分比 4 2 15 3 6" xfId="4248"/>
    <cellStyle name="百分比 4 2 15 4" xfId="4249"/>
    <cellStyle name="百分比 4 2 15 5" xfId="4250"/>
    <cellStyle name="百分比 4 2 15 6" xfId="4251"/>
    <cellStyle name="百分比 4 2 15 7" xfId="4252"/>
    <cellStyle name="百分比 4 2 15 8" xfId="4253"/>
    <cellStyle name="百分比 4 2 16" xfId="4254"/>
    <cellStyle name="百分比 4 2 16 2" xfId="4255"/>
    <cellStyle name="百分比 4 2 16 2 2" xfId="4256"/>
    <cellStyle name="百分比 4 2 16 2 3" xfId="4257"/>
    <cellStyle name="百分比 4 2 16 2 4" xfId="4258"/>
    <cellStyle name="百分比 4 2 16 2 5" xfId="4259"/>
    <cellStyle name="百分比 4 2 16 2 6" xfId="4260"/>
    <cellStyle name="百分比 4 2 16 3" xfId="4261"/>
    <cellStyle name="百分比 4 2 16 4" xfId="4262"/>
    <cellStyle name="百分比 4 2 16 5" xfId="4263"/>
    <cellStyle name="百分比 4 2 16 6" xfId="4264"/>
    <cellStyle name="百分比 4 2 16 7" xfId="4265"/>
    <cellStyle name="百分比 4 2 17" xfId="4266"/>
    <cellStyle name="百分比 4 2 17 2" xfId="4267"/>
    <cellStyle name="百分比 4 2 17 2 2" xfId="4268"/>
    <cellStyle name="百分比 4 2 17 2 3" xfId="4269"/>
    <cellStyle name="百分比 4 2 17 2 4" xfId="4270"/>
    <cellStyle name="百分比 4 2 17 2 5" xfId="4271"/>
    <cellStyle name="百分比 4 2 17 2 6" xfId="4272"/>
    <cellStyle name="百分比 4 2 17 3" xfId="4273"/>
    <cellStyle name="百分比 4 2 17 4" xfId="4274"/>
    <cellStyle name="百分比 4 2 17 5" xfId="4275"/>
    <cellStyle name="百分比 4 2 17 6" xfId="4276"/>
    <cellStyle name="百分比 4 2 17 7" xfId="4277"/>
    <cellStyle name="百分比 4 2 18" xfId="4278"/>
    <cellStyle name="百分比 4 2 18 2" xfId="4279"/>
    <cellStyle name="百分比 4 2 18 2 2" xfId="4280"/>
    <cellStyle name="百分比 4 2 18 2 3" xfId="4281"/>
    <cellStyle name="百分比 4 2 18 2 4" xfId="4282"/>
    <cellStyle name="百分比 4 2 18 2 5" xfId="4283"/>
    <cellStyle name="百分比 4 2 18 2 6" xfId="4284"/>
    <cellStyle name="百分比 4 2 18 3" xfId="4285"/>
    <cellStyle name="百分比 4 2 18 4" xfId="4286"/>
    <cellStyle name="百分比 4 2 18 5" xfId="4287"/>
    <cellStyle name="百分比 4 2 18 6" xfId="4288"/>
    <cellStyle name="百分比 4 2 18 7" xfId="4289"/>
    <cellStyle name="百分比 4 2 19" xfId="4290"/>
    <cellStyle name="百分比 4 2 19 2" xfId="4291"/>
    <cellStyle name="百分比 4 2 19 2 2" xfId="4292"/>
    <cellStyle name="百分比 4 2 19 2 3" xfId="4293"/>
    <cellStyle name="百分比 4 2 19 2 4" xfId="4294"/>
    <cellStyle name="百分比 4 2 19 2 5" xfId="4295"/>
    <cellStyle name="百分比 4 2 19 2 6" xfId="4296"/>
    <cellStyle name="百分比 4 2 19 3" xfId="4297"/>
    <cellStyle name="百分比 4 2 19 4" xfId="4298"/>
    <cellStyle name="百分比 4 2 19 5" xfId="4299"/>
    <cellStyle name="百分比 4 2 19 6" xfId="4300"/>
    <cellStyle name="百分比 4 2 19 7" xfId="4301"/>
    <cellStyle name="百分比 4 2 2" xfId="4302"/>
    <cellStyle name="百分比 4 2 2 10" xfId="4303"/>
    <cellStyle name="百分比 4 2 2 10 2" xfId="4304"/>
    <cellStyle name="百分比 4 2 2 10 2 2" xfId="4305"/>
    <cellStyle name="百分比 4 2 2 10 2 2 2" xfId="4306"/>
    <cellStyle name="百分比 4 2 2 10 2 2 3" xfId="4307"/>
    <cellStyle name="百分比 4 2 2 10 2 2 4" xfId="4308"/>
    <cellStyle name="百分比 4 2 2 10 2 2 5" xfId="4309"/>
    <cellStyle name="百分比 4 2 2 10 2 2 6" xfId="4310"/>
    <cellStyle name="百分比 4 2 2 10 2 3" xfId="4311"/>
    <cellStyle name="百分比 4 2 2 10 2 4" xfId="4312"/>
    <cellStyle name="百分比 4 2 2 10 2 5" xfId="4313"/>
    <cellStyle name="百分比 4 2 2 10 2 6" xfId="4314"/>
    <cellStyle name="百分比 4 2 2 10 2 7" xfId="4315"/>
    <cellStyle name="百分比 4 2 2 10 3" xfId="4316"/>
    <cellStyle name="百分比 4 2 2 10 3 2" xfId="4317"/>
    <cellStyle name="百分比 4 2 2 10 3 2 2" xfId="4318"/>
    <cellStyle name="百分比 4 2 2 10 3 2 3" xfId="4319"/>
    <cellStyle name="百分比 4 2 2 10 3 2 4" xfId="4320"/>
    <cellStyle name="百分比 4 2 2 10 3 2 5" xfId="4321"/>
    <cellStyle name="百分比 4 2 2 10 3 2 6" xfId="4322"/>
    <cellStyle name="百分比 4 2 2 10 3 3" xfId="4323"/>
    <cellStyle name="百分比 4 2 2 10 3 4" xfId="4324"/>
    <cellStyle name="百分比 4 2 2 10 3 5" xfId="4325"/>
    <cellStyle name="百分比 4 2 2 10 3 6" xfId="4326"/>
    <cellStyle name="百分比 4 2 2 10 3 7" xfId="4327"/>
    <cellStyle name="百分比 4 2 2 10 4" xfId="4328"/>
    <cellStyle name="百分比 4 2 2 10 4 2" xfId="4329"/>
    <cellStyle name="百分比 4 2 2 10 4 3" xfId="4330"/>
    <cellStyle name="百分比 4 2 2 10 4 4" xfId="4331"/>
    <cellStyle name="百分比 4 2 2 10 4 5" xfId="4332"/>
    <cellStyle name="百分比 4 2 2 10 4 6" xfId="4333"/>
    <cellStyle name="百分比 4 2 2 10 5" xfId="4334"/>
    <cellStyle name="百分比 4 2 2 10 6" xfId="4335"/>
    <cellStyle name="百分比 4 2 2 10 7" xfId="4336"/>
    <cellStyle name="百分比 4 2 2 10 8" xfId="4337"/>
    <cellStyle name="百分比 4 2 2 10 9" xfId="4338"/>
    <cellStyle name="百分比 4 2 2 11" xfId="4339"/>
    <cellStyle name="百分比 4 2 2 11 2" xfId="4340"/>
    <cellStyle name="百分比 4 2 2 11 2 2" xfId="4341"/>
    <cellStyle name="百分比 4 2 2 11 2 2 2" xfId="4342"/>
    <cellStyle name="百分比 4 2 2 11 2 2 3" xfId="4343"/>
    <cellStyle name="百分比 4 2 2 11 2 2 4" xfId="4344"/>
    <cellStyle name="百分比 4 2 2 11 2 2 5" xfId="4345"/>
    <cellStyle name="百分比 4 2 2 11 2 2 6" xfId="4346"/>
    <cellStyle name="百分比 4 2 2 11 2 3" xfId="4347"/>
    <cellStyle name="百分比 4 2 2 11 2 4" xfId="4348"/>
    <cellStyle name="百分比 4 2 2 11 2 5" xfId="4349"/>
    <cellStyle name="百分比 4 2 2 11 2 6" xfId="4350"/>
    <cellStyle name="百分比 4 2 2 11 2 7" xfId="4351"/>
    <cellStyle name="百分比 4 2 2 11 3" xfId="4352"/>
    <cellStyle name="百分比 4 2 2 11 3 2" xfId="4353"/>
    <cellStyle name="百分比 4 2 2 11 3 3" xfId="4354"/>
    <cellStyle name="百分比 4 2 2 11 3 4" xfId="4355"/>
    <cellStyle name="百分比 4 2 2 11 3 5" xfId="4356"/>
    <cellStyle name="百分比 4 2 2 11 3 6" xfId="4357"/>
    <cellStyle name="百分比 4 2 2 11 4" xfId="4358"/>
    <cellStyle name="百分比 4 2 2 11 5" xfId="4359"/>
    <cellStyle name="百分比 4 2 2 11 6" xfId="4360"/>
    <cellStyle name="百分比 4 2 2 11 7" xfId="4361"/>
    <cellStyle name="百分比 4 2 2 11 8" xfId="4362"/>
    <cellStyle name="百分比 4 2 2 12" xfId="4363"/>
    <cellStyle name="百分比 4 2 2 12 2" xfId="4364"/>
    <cellStyle name="百分比 4 2 2 12 2 2" xfId="4365"/>
    <cellStyle name="百分比 4 2 2 12 2 2 2" xfId="4366"/>
    <cellStyle name="百分比 4 2 2 12 2 2 3" xfId="4367"/>
    <cellStyle name="百分比 4 2 2 12 2 2 4" xfId="4368"/>
    <cellStyle name="百分比 4 2 2 12 2 2 5" xfId="4369"/>
    <cellStyle name="百分比 4 2 2 12 2 2 6" xfId="4370"/>
    <cellStyle name="百分比 4 2 2 12 2 3" xfId="4371"/>
    <cellStyle name="百分比 4 2 2 12 2 4" xfId="4372"/>
    <cellStyle name="百分比 4 2 2 12 2 5" xfId="4373"/>
    <cellStyle name="百分比 4 2 2 12 2 6" xfId="4374"/>
    <cellStyle name="百分比 4 2 2 12 2 7" xfId="4375"/>
    <cellStyle name="百分比 4 2 2 12 3" xfId="4376"/>
    <cellStyle name="百分比 4 2 2 12 3 2" xfId="4377"/>
    <cellStyle name="百分比 4 2 2 12 3 3" xfId="4378"/>
    <cellStyle name="百分比 4 2 2 12 3 4" xfId="4379"/>
    <cellStyle name="百分比 4 2 2 12 3 5" xfId="4380"/>
    <cellStyle name="百分比 4 2 2 12 3 6" xfId="4381"/>
    <cellStyle name="百分比 4 2 2 12 4" xfId="4382"/>
    <cellStyle name="百分比 4 2 2 12 5" xfId="4383"/>
    <cellStyle name="百分比 4 2 2 12 6" xfId="4384"/>
    <cellStyle name="百分比 4 2 2 12 7" xfId="4385"/>
    <cellStyle name="百分比 4 2 2 12 8" xfId="4386"/>
    <cellStyle name="百分比 4 2 2 13" xfId="4387"/>
    <cellStyle name="百分比 4 2 2 13 2" xfId="4388"/>
    <cellStyle name="百分比 4 2 2 13 2 2" xfId="4389"/>
    <cellStyle name="百分比 4 2 2 13 2 2 2" xfId="4390"/>
    <cellStyle name="百分比 4 2 2 13 2 2 3" xfId="4391"/>
    <cellStyle name="百分比 4 2 2 13 2 2 4" xfId="4392"/>
    <cellStyle name="百分比 4 2 2 13 2 2 5" xfId="4393"/>
    <cellStyle name="百分比 4 2 2 13 2 2 6" xfId="4394"/>
    <cellStyle name="百分比 4 2 2 13 2 3" xfId="4395"/>
    <cellStyle name="百分比 4 2 2 13 2 4" xfId="4396"/>
    <cellStyle name="百分比 4 2 2 13 2 5" xfId="4397"/>
    <cellStyle name="百分比 4 2 2 13 2 6" xfId="4398"/>
    <cellStyle name="百分比 4 2 2 13 2 7" xfId="4399"/>
    <cellStyle name="百分比 4 2 2 13 3" xfId="4400"/>
    <cellStyle name="百分比 4 2 2 13 3 2" xfId="4401"/>
    <cellStyle name="百分比 4 2 2 13 3 3" xfId="4402"/>
    <cellStyle name="百分比 4 2 2 13 3 4" xfId="4403"/>
    <cellStyle name="百分比 4 2 2 13 3 5" xfId="4404"/>
    <cellStyle name="百分比 4 2 2 13 3 6" xfId="4405"/>
    <cellStyle name="百分比 4 2 2 13 4" xfId="4406"/>
    <cellStyle name="百分比 4 2 2 13 5" xfId="4407"/>
    <cellStyle name="百分比 4 2 2 13 6" xfId="4408"/>
    <cellStyle name="百分比 4 2 2 13 7" xfId="4409"/>
    <cellStyle name="百分比 4 2 2 13 8" xfId="4410"/>
    <cellStyle name="百分比 4 2 2 14" xfId="4411"/>
    <cellStyle name="百分比 4 2 2 14 2" xfId="4412"/>
    <cellStyle name="百分比 4 2 2 14 2 2" xfId="4413"/>
    <cellStyle name="百分比 4 2 2 14 2 2 2" xfId="4414"/>
    <cellStyle name="百分比 4 2 2 14 2 2 3" xfId="4415"/>
    <cellStyle name="百分比 4 2 2 14 2 2 4" xfId="4416"/>
    <cellStyle name="百分比 4 2 2 14 2 2 5" xfId="4417"/>
    <cellStyle name="百分比 4 2 2 14 2 2 6" xfId="4418"/>
    <cellStyle name="百分比 4 2 2 14 2 3" xfId="4419"/>
    <cellStyle name="百分比 4 2 2 14 2 4" xfId="4420"/>
    <cellStyle name="百分比 4 2 2 14 2 5" xfId="4421"/>
    <cellStyle name="百分比 4 2 2 14 2 6" xfId="4422"/>
    <cellStyle name="百分比 4 2 2 14 2 7" xfId="4423"/>
    <cellStyle name="百分比 4 2 2 14 3" xfId="4424"/>
    <cellStyle name="百分比 4 2 2 14 3 2" xfId="4425"/>
    <cellStyle name="百分比 4 2 2 14 3 3" xfId="4426"/>
    <cellStyle name="百分比 4 2 2 14 3 4" xfId="4427"/>
    <cellStyle name="百分比 4 2 2 14 3 5" xfId="4428"/>
    <cellStyle name="百分比 4 2 2 14 3 6" xfId="4429"/>
    <cellStyle name="百分比 4 2 2 14 4" xfId="4430"/>
    <cellStyle name="百分比 4 2 2 14 5" xfId="4431"/>
    <cellStyle name="百分比 4 2 2 14 6" xfId="4432"/>
    <cellStyle name="百分比 4 2 2 14 7" xfId="4433"/>
    <cellStyle name="百分比 4 2 2 14 8" xfId="4434"/>
    <cellStyle name="百分比 4 2 2 15" xfId="4435"/>
    <cellStyle name="百分比 4 2 2 15 2" xfId="4436"/>
    <cellStyle name="百分比 4 2 2 15 2 2" xfId="4437"/>
    <cellStyle name="百分比 4 2 2 15 2 3" xfId="4438"/>
    <cellStyle name="百分比 4 2 2 15 2 4" xfId="4439"/>
    <cellStyle name="百分比 4 2 2 15 2 5" xfId="4440"/>
    <cellStyle name="百分比 4 2 2 15 2 6" xfId="4441"/>
    <cellStyle name="百分比 4 2 2 15 3" xfId="4442"/>
    <cellStyle name="百分比 4 2 2 15 4" xfId="4443"/>
    <cellStyle name="百分比 4 2 2 15 5" xfId="4444"/>
    <cellStyle name="百分比 4 2 2 15 6" xfId="4445"/>
    <cellStyle name="百分比 4 2 2 15 7" xfId="4446"/>
    <cellStyle name="百分比 4 2 2 16" xfId="4447"/>
    <cellStyle name="百分比 4 2 2 16 2" xfId="4448"/>
    <cellStyle name="百分比 4 2 2 16 2 2" xfId="4449"/>
    <cellStyle name="百分比 4 2 2 16 2 3" xfId="4450"/>
    <cellStyle name="百分比 4 2 2 16 2 4" xfId="4451"/>
    <cellStyle name="百分比 4 2 2 16 2 5" xfId="4452"/>
    <cellStyle name="百分比 4 2 2 16 2 6" xfId="4453"/>
    <cellStyle name="百分比 4 2 2 16 3" xfId="4454"/>
    <cellStyle name="百分比 4 2 2 16 4" xfId="4455"/>
    <cellStyle name="百分比 4 2 2 16 5" xfId="4456"/>
    <cellStyle name="百分比 4 2 2 16 6" xfId="4457"/>
    <cellStyle name="百分比 4 2 2 16 7" xfId="4458"/>
    <cellStyle name="百分比 4 2 2 17" xfId="4459"/>
    <cellStyle name="百分比 4 2 2 17 2" xfId="4460"/>
    <cellStyle name="百分比 4 2 2 17 2 2" xfId="4461"/>
    <cellStyle name="百分比 4 2 2 17 2 3" xfId="4462"/>
    <cellStyle name="百分比 4 2 2 17 2 4" xfId="4463"/>
    <cellStyle name="百分比 4 2 2 17 2 5" xfId="4464"/>
    <cellStyle name="百分比 4 2 2 17 2 6" xfId="4465"/>
    <cellStyle name="百分比 4 2 2 17 3" xfId="4466"/>
    <cellStyle name="百分比 4 2 2 17 4" xfId="4467"/>
    <cellStyle name="百分比 4 2 2 17 5" xfId="4468"/>
    <cellStyle name="百分比 4 2 2 17 6" xfId="4469"/>
    <cellStyle name="百分比 4 2 2 17 7" xfId="4470"/>
    <cellStyle name="百分比 4 2 2 18" xfId="4471"/>
    <cellStyle name="百分比 4 2 2 18 2" xfId="4472"/>
    <cellStyle name="百分比 4 2 2 18 3" xfId="4473"/>
    <cellStyle name="百分比 4 2 2 18 4" xfId="4474"/>
    <cellStyle name="百分比 4 2 2 18 5" xfId="4475"/>
    <cellStyle name="百分比 4 2 2 18 6" xfId="4476"/>
    <cellStyle name="百分比 4 2 2 19" xfId="4477"/>
    <cellStyle name="百分比 4 2 2 2" xfId="4478"/>
    <cellStyle name="百分比 4 2 2 2 10" xfId="4479"/>
    <cellStyle name="百分比 4 2 2 2 10 2" xfId="4480"/>
    <cellStyle name="百分比 4 2 2 2 10 2 2" xfId="4481"/>
    <cellStyle name="百分比 4 2 2 2 10 2 3" xfId="4482"/>
    <cellStyle name="百分比 4 2 2 2 10 2 4" xfId="4483"/>
    <cellStyle name="百分比 4 2 2 2 10 2 5" xfId="4484"/>
    <cellStyle name="百分比 4 2 2 2 10 2 6" xfId="4485"/>
    <cellStyle name="百分比 4 2 2 2 10 3" xfId="4486"/>
    <cellStyle name="百分比 4 2 2 2 10 4" xfId="4487"/>
    <cellStyle name="百分比 4 2 2 2 10 5" xfId="4488"/>
    <cellStyle name="百分比 4 2 2 2 10 6" xfId="4489"/>
    <cellStyle name="百分比 4 2 2 2 10 7" xfId="4490"/>
    <cellStyle name="百分比 4 2 2 2 11" xfId="4491"/>
    <cellStyle name="百分比 4 2 2 2 11 2" xfId="4492"/>
    <cellStyle name="百分比 4 2 2 2 11 3" xfId="4493"/>
    <cellStyle name="百分比 4 2 2 2 11 4" xfId="4494"/>
    <cellStyle name="百分比 4 2 2 2 11 5" xfId="4495"/>
    <cellStyle name="百分比 4 2 2 2 11 6" xfId="4496"/>
    <cellStyle name="百分比 4 2 2 2 12" xfId="4497"/>
    <cellStyle name="百分比 4 2 2 2 13" xfId="4498"/>
    <cellStyle name="百分比 4 2 2 2 14" xfId="4499"/>
    <cellStyle name="百分比 4 2 2 2 15" xfId="4500"/>
    <cellStyle name="百分比 4 2 2 2 16" xfId="4501"/>
    <cellStyle name="百分比 4 2 2 2 17" xfId="4502"/>
    <cellStyle name="百分比 4 2 2 2 2" xfId="4503"/>
    <cellStyle name="百分比 4 2 2 2 2 2" xfId="4504"/>
    <cellStyle name="百分比 4 2 2 2 2 2 2" xfId="4505"/>
    <cellStyle name="百分比 4 2 2 2 2 2 3" xfId="4506"/>
    <cellStyle name="百分比 4 2 2 2 2 2 4" xfId="4507"/>
    <cellStyle name="百分比 4 2 2 2 2 2 5" xfId="4508"/>
    <cellStyle name="百分比 4 2 2 2 2 2 6" xfId="4509"/>
    <cellStyle name="百分比 4 2 2 2 2 2 7" xfId="4510"/>
    <cellStyle name="百分比 4 2 2 2 2 3" xfId="4511"/>
    <cellStyle name="百分比 4 2 2 2 2 3 2" xfId="4512"/>
    <cellStyle name="百分比 4 2 2 2 2 4" xfId="4513"/>
    <cellStyle name="百分比 4 2 2 2 2 5" xfId="4514"/>
    <cellStyle name="百分比 4 2 2 2 2 6" xfId="4515"/>
    <cellStyle name="百分比 4 2 2 2 2 7" xfId="4516"/>
    <cellStyle name="百分比 4 2 2 2 2 8" xfId="4517"/>
    <cellStyle name="百分比 4 2 2 2 3" xfId="4518"/>
    <cellStyle name="百分比 4 2 2 2 3 2" xfId="4519"/>
    <cellStyle name="百分比 4 2 2 2 3 2 2" xfId="4520"/>
    <cellStyle name="百分比 4 2 2 2 3 2 3" xfId="4521"/>
    <cellStyle name="百分比 4 2 2 2 3 2 4" xfId="4522"/>
    <cellStyle name="百分比 4 2 2 2 3 2 5" xfId="4523"/>
    <cellStyle name="百分比 4 2 2 2 3 2 6" xfId="4524"/>
    <cellStyle name="百分比 4 2 2 2 3 2 7" xfId="4525"/>
    <cellStyle name="百分比 4 2 2 2 3 3" xfId="4526"/>
    <cellStyle name="百分比 4 2 2 2 3 3 2" xfId="4527"/>
    <cellStyle name="百分比 4 2 2 2 3 4" xfId="4528"/>
    <cellStyle name="百分比 4 2 2 2 3 5" xfId="4529"/>
    <cellStyle name="百分比 4 2 2 2 3 6" xfId="4530"/>
    <cellStyle name="百分比 4 2 2 2 3 7" xfId="4531"/>
    <cellStyle name="百分比 4 2 2 2 3 8" xfId="4532"/>
    <cellStyle name="百分比 4 2 2 2 4" xfId="4533"/>
    <cellStyle name="百分比 4 2 2 2 4 2" xfId="4534"/>
    <cellStyle name="百分比 4 2 2 2 4 2 2" xfId="4535"/>
    <cellStyle name="百分比 4 2 2 2 4 2 3" xfId="4536"/>
    <cellStyle name="百分比 4 2 2 2 4 2 4" xfId="4537"/>
    <cellStyle name="百分比 4 2 2 2 4 2 5" xfId="4538"/>
    <cellStyle name="百分比 4 2 2 2 4 2 6" xfId="4539"/>
    <cellStyle name="百分比 4 2 2 2 4 3" xfId="4540"/>
    <cellStyle name="百分比 4 2 2 2 4 4" xfId="4541"/>
    <cellStyle name="百分比 4 2 2 2 4 5" xfId="4542"/>
    <cellStyle name="百分比 4 2 2 2 4 6" xfId="4543"/>
    <cellStyle name="百分比 4 2 2 2 4 7" xfId="4544"/>
    <cellStyle name="百分比 4 2 2 2 4 8" xfId="4545"/>
    <cellStyle name="百分比 4 2 2 2 5" xfId="4546"/>
    <cellStyle name="百分比 4 2 2 2 5 2" xfId="4547"/>
    <cellStyle name="百分比 4 2 2 2 5 2 2" xfId="4548"/>
    <cellStyle name="百分比 4 2 2 2 5 2 3" xfId="4549"/>
    <cellStyle name="百分比 4 2 2 2 5 2 4" xfId="4550"/>
    <cellStyle name="百分比 4 2 2 2 5 2 5" xfId="4551"/>
    <cellStyle name="百分比 4 2 2 2 5 2 6" xfId="4552"/>
    <cellStyle name="百分比 4 2 2 2 5 3" xfId="4553"/>
    <cellStyle name="百分比 4 2 2 2 5 4" xfId="4554"/>
    <cellStyle name="百分比 4 2 2 2 5 5" xfId="4555"/>
    <cellStyle name="百分比 4 2 2 2 5 6" xfId="4556"/>
    <cellStyle name="百分比 4 2 2 2 5 7" xfId="4557"/>
    <cellStyle name="百分比 4 2 2 2 5 8" xfId="4558"/>
    <cellStyle name="百分比 4 2 2 2 6" xfId="4559"/>
    <cellStyle name="百分比 4 2 2 2 6 2" xfId="4560"/>
    <cellStyle name="百分比 4 2 2 2 6 2 2" xfId="4561"/>
    <cellStyle name="百分比 4 2 2 2 6 2 3" xfId="4562"/>
    <cellStyle name="百分比 4 2 2 2 6 2 4" xfId="4563"/>
    <cellStyle name="百分比 4 2 2 2 6 2 5" xfId="4564"/>
    <cellStyle name="百分比 4 2 2 2 6 2 6" xfId="4565"/>
    <cellStyle name="百分比 4 2 2 2 6 3" xfId="4566"/>
    <cellStyle name="百分比 4 2 2 2 6 4" xfId="4567"/>
    <cellStyle name="百分比 4 2 2 2 6 5" xfId="4568"/>
    <cellStyle name="百分比 4 2 2 2 6 6" xfId="4569"/>
    <cellStyle name="百分比 4 2 2 2 6 7" xfId="4570"/>
    <cellStyle name="百分比 4 2 2 2 7" xfId="4571"/>
    <cellStyle name="百分比 4 2 2 2 7 2" xfId="4572"/>
    <cellStyle name="百分比 4 2 2 2 7 2 2" xfId="4573"/>
    <cellStyle name="百分比 4 2 2 2 7 2 3" xfId="4574"/>
    <cellStyle name="百分比 4 2 2 2 7 2 4" xfId="4575"/>
    <cellStyle name="百分比 4 2 2 2 7 2 5" xfId="4576"/>
    <cellStyle name="百分比 4 2 2 2 7 2 6" xfId="4577"/>
    <cellStyle name="百分比 4 2 2 2 7 3" xfId="4578"/>
    <cellStyle name="百分比 4 2 2 2 7 4" xfId="4579"/>
    <cellStyle name="百分比 4 2 2 2 7 5" xfId="4580"/>
    <cellStyle name="百分比 4 2 2 2 7 6" xfId="4581"/>
    <cellStyle name="百分比 4 2 2 2 7 7" xfId="4582"/>
    <cellStyle name="百分比 4 2 2 2 8" xfId="4583"/>
    <cellStyle name="百分比 4 2 2 2 8 2" xfId="4584"/>
    <cellStyle name="百分比 4 2 2 2 8 2 2" xfId="4585"/>
    <cellStyle name="百分比 4 2 2 2 8 2 3" xfId="4586"/>
    <cellStyle name="百分比 4 2 2 2 8 2 4" xfId="4587"/>
    <cellStyle name="百分比 4 2 2 2 8 2 5" xfId="4588"/>
    <cellStyle name="百分比 4 2 2 2 8 2 6" xfId="4589"/>
    <cellStyle name="百分比 4 2 2 2 8 3" xfId="4590"/>
    <cellStyle name="百分比 4 2 2 2 8 4" xfId="4591"/>
    <cellStyle name="百分比 4 2 2 2 8 5" xfId="4592"/>
    <cellStyle name="百分比 4 2 2 2 8 6" xfId="4593"/>
    <cellStyle name="百分比 4 2 2 2 8 7" xfId="4594"/>
    <cellStyle name="百分比 4 2 2 2 9" xfId="4595"/>
    <cellStyle name="百分比 4 2 2 2 9 2" xfId="4596"/>
    <cellStyle name="百分比 4 2 2 2 9 2 2" xfId="4597"/>
    <cellStyle name="百分比 4 2 2 2 9 2 3" xfId="4598"/>
    <cellStyle name="百分比 4 2 2 2 9 2 4" xfId="4599"/>
    <cellStyle name="百分比 4 2 2 2 9 2 5" xfId="4600"/>
    <cellStyle name="百分比 4 2 2 2 9 2 6" xfId="4601"/>
    <cellStyle name="百分比 4 2 2 2 9 3" xfId="4602"/>
    <cellStyle name="百分比 4 2 2 2 9 4" xfId="4603"/>
    <cellStyle name="百分比 4 2 2 2 9 5" xfId="4604"/>
    <cellStyle name="百分比 4 2 2 2 9 6" xfId="4605"/>
    <cellStyle name="百分比 4 2 2 2 9 7" xfId="4606"/>
    <cellStyle name="百分比 4 2 2 20" xfId="4607"/>
    <cellStyle name="百分比 4 2 2 21" xfId="4608"/>
    <cellStyle name="百分比 4 2 2 22" xfId="4609"/>
    <cellStyle name="百分比 4 2 2 23" xfId="4610"/>
    <cellStyle name="百分比 4 2 2 24" xfId="4611"/>
    <cellStyle name="百分比 4 2 2 25" xfId="4612"/>
    <cellStyle name="百分比 4 2 2 3" xfId="4613"/>
    <cellStyle name="百分比 4 2 2 3 10" xfId="4614"/>
    <cellStyle name="百分比 4 2 2 3 10 2" xfId="4615"/>
    <cellStyle name="百分比 4 2 2 3 10 3" xfId="4616"/>
    <cellStyle name="百分比 4 2 2 3 10 4" xfId="4617"/>
    <cellStyle name="百分比 4 2 2 3 10 5" xfId="4618"/>
    <cellStyle name="百分比 4 2 2 3 10 6" xfId="4619"/>
    <cellStyle name="百分比 4 2 2 3 11" xfId="4620"/>
    <cellStyle name="百分比 4 2 2 3 12" xfId="4621"/>
    <cellStyle name="百分比 4 2 2 3 13" xfId="4622"/>
    <cellStyle name="百分比 4 2 2 3 14" xfId="4623"/>
    <cellStyle name="百分比 4 2 2 3 15" xfId="4624"/>
    <cellStyle name="百分比 4 2 2 3 16" xfId="4625"/>
    <cellStyle name="百分比 4 2 2 3 2" xfId="4626"/>
    <cellStyle name="百分比 4 2 2 3 2 2" xfId="4627"/>
    <cellStyle name="百分比 4 2 2 3 2 2 2" xfId="4628"/>
    <cellStyle name="百分比 4 2 2 3 2 2 3" xfId="4629"/>
    <cellStyle name="百分比 4 2 2 3 2 2 4" xfId="4630"/>
    <cellStyle name="百分比 4 2 2 3 2 2 5" xfId="4631"/>
    <cellStyle name="百分比 4 2 2 3 2 2 6" xfId="4632"/>
    <cellStyle name="百分比 4 2 2 3 2 3" xfId="4633"/>
    <cellStyle name="百分比 4 2 2 3 2 4" xfId="4634"/>
    <cellStyle name="百分比 4 2 2 3 2 5" xfId="4635"/>
    <cellStyle name="百分比 4 2 2 3 2 6" xfId="4636"/>
    <cellStyle name="百分比 4 2 2 3 2 7" xfId="4637"/>
    <cellStyle name="百分比 4 2 2 3 2 8" xfId="4638"/>
    <cellStyle name="百分比 4 2 2 3 3" xfId="4639"/>
    <cellStyle name="百分比 4 2 2 3 3 2" xfId="4640"/>
    <cellStyle name="百分比 4 2 2 3 3 2 2" xfId="4641"/>
    <cellStyle name="百分比 4 2 2 3 3 2 3" xfId="4642"/>
    <cellStyle name="百分比 4 2 2 3 3 2 4" xfId="4643"/>
    <cellStyle name="百分比 4 2 2 3 3 2 5" xfId="4644"/>
    <cellStyle name="百分比 4 2 2 3 3 2 6" xfId="4645"/>
    <cellStyle name="百分比 4 2 2 3 3 3" xfId="4646"/>
    <cellStyle name="百分比 4 2 2 3 3 4" xfId="4647"/>
    <cellStyle name="百分比 4 2 2 3 3 5" xfId="4648"/>
    <cellStyle name="百分比 4 2 2 3 3 6" xfId="4649"/>
    <cellStyle name="百分比 4 2 2 3 3 7" xfId="4650"/>
    <cellStyle name="百分比 4 2 2 3 3 8" xfId="4651"/>
    <cellStyle name="百分比 4 2 2 3 4" xfId="4652"/>
    <cellStyle name="百分比 4 2 2 3 4 2" xfId="4653"/>
    <cellStyle name="百分比 4 2 2 3 4 2 2" xfId="4654"/>
    <cellStyle name="百分比 4 2 2 3 4 2 3" xfId="4655"/>
    <cellStyle name="百分比 4 2 2 3 4 2 4" xfId="4656"/>
    <cellStyle name="百分比 4 2 2 3 4 2 5" xfId="4657"/>
    <cellStyle name="百分比 4 2 2 3 4 2 6" xfId="4658"/>
    <cellStyle name="百分比 4 2 2 3 4 3" xfId="4659"/>
    <cellStyle name="百分比 4 2 2 3 4 4" xfId="4660"/>
    <cellStyle name="百分比 4 2 2 3 4 5" xfId="4661"/>
    <cellStyle name="百分比 4 2 2 3 4 6" xfId="4662"/>
    <cellStyle name="百分比 4 2 2 3 4 7" xfId="4663"/>
    <cellStyle name="百分比 4 2 2 3 5" xfId="4664"/>
    <cellStyle name="百分比 4 2 2 3 5 2" xfId="4665"/>
    <cellStyle name="百分比 4 2 2 3 5 2 2" xfId="4666"/>
    <cellStyle name="百分比 4 2 2 3 5 2 3" xfId="4667"/>
    <cellStyle name="百分比 4 2 2 3 5 2 4" xfId="4668"/>
    <cellStyle name="百分比 4 2 2 3 5 2 5" xfId="4669"/>
    <cellStyle name="百分比 4 2 2 3 5 2 6" xfId="4670"/>
    <cellStyle name="百分比 4 2 2 3 5 3" xfId="4671"/>
    <cellStyle name="百分比 4 2 2 3 5 4" xfId="4672"/>
    <cellStyle name="百分比 4 2 2 3 5 5" xfId="4673"/>
    <cellStyle name="百分比 4 2 2 3 5 6" xfId="4674"/>
    <cellStyle name="百分比 4 2 2 3 5 7" xfId="4675"/>
    <cellStyle name="百分比 4 2 2 3 6" xfId="4676"/>
    <cellStyle name="百分比 4 2 2 3 6 2" xfId="4677"/>
    <cellStyle name="百分比 4 2 2 3 6 2 2" xfId="4678"/>
    <cellStyle name="百分比 4 2 2 3 6 2 3" xfId="4679"/>
    <cellStyle name="百分比 4 2 2 3 6 2 4" xfId="4680"/>
    <cellStyle name="百分比 4 2 2 3 6 2 5" xfId="4681"/>
    <cellStyle name="百分比 4 2 2 3 6 2 6" xfId="4682"/>
    <cellStyle name="百分比 4 2 2 3 6 3" xfId="4683"/>
    <cellStyle name="百分比 4 2 2 3 6 4" xfId="4684"/>
    <cellStyle name="百分比 4 2 2 3 6 5" xfId="4685"/>
    <cellStyle name="百分比 4 2 2 3 6 6" xfId="4686"/>
    <cellStyle name="百分比 4 2 2 3 6 7" xfId="4687"/>
    <cellStyle name="百分比 4 2 2 3 7" xfId="4688"/>
    <cellStyle name="百分比 4 2 2 3 7 2" xfId="4689"/>
    <cellStyle name="百分比 4 2 2 3 7 2 2" xfId="4690"/>
    <cellStyle name="百分比 4 2 2 3 7 2 3" xfId="4691"/>
    <cellStyle name="百分比 4 2 2 3 7 2 4" xfId="4692"/>
    <cellStyle name="百分比 4 2 2 3 7 2 5" xfId="4693"/>
    <cellStyle name="百分比 4 2 2 3 7 2 6" xfId="4694"/>
    <cellStyle name="百分比 4 2 2 3 7 3" xfId="4695"/>
    <cellStyle name="百分比 4 2 2 3 7 4" xfId="4696"/>
    <cellStyle name="百分比 4 2 2 3 7 5" xfId="4697"/>
    <cellStyle name="百分比 4 2 2 3 7 6" xfId="4698"/>
    <cellStyle name="百分比 4 2 2 3 7 7" xfId="4699"/>
    <cellStyle name="百分比 4 2 2 3 8" xfId="4700"/>
    <cellStyle name="百分比 4 2 2 3 8 2" xfId="4701"/>
    <cellStyle name="百分比 4 2 2 3 8 2 2" xfId="4702"/>
    <cellStyle name="百分比 4 2 2 3 8 2 3" xfId="4703"/>
    <cellStyle name="百分比 4 2 2 3 8 2 4" xfId="4704"/>
    <cellStyle name="百分比 4 2 2 3 8 2 5" xfId="4705"/>
    <cellStyle name="百分比 4 2 2 3 8 2 6" xfId="4706"/>
    <cellStyle name="百分比 4 2 2 3 8 3" xfId="4707"/>
    <cellStyle name="百分比 4 2 2 3 8 4" xfId="4708"/>
    <cellStyle name="百分比 4 2 2 3 8 5" xfId="4709"/>
    <cellStyle name="百分比 4 2 2 3 8 6" xfId="4710"/>
    <cellStyle name="百分比 4 2 2 3 8 7" xfId="4711"/>
    <cellStyle name="百分比 4 2 2 3 9" xfId="4712"/>
    <cellStyle name="百分比 4 2 2 3 9 2" xfId="4713"/>
    <cellStyle name="百分比 4 2 2 3 9 2 2" xfId="4714"/>
    <cellStyle name="百分比 4 2 2 3 9 2 3" xfId="4715"/>
    <cellStyle name="百分比 4 2 2 3 9 2 4" xfId="4716"/>
    <cellStyle name="百分比 4 2 2 3 9 2 5" xfId="4717"/>
    <cellStyle name="百分比 4 2 2 3 9 2 6" xfId="4718"/>
    <cellStyle name="百分比 4 2 2 3 9 3" xfId="4719"/>
    <cellStyle name="百分比 4 2 2 3 9 4" xfId="4720"/>
    <cellStyle name="百分比 4 2 2 3 9 5" xfId="4721"/>
    <cellStyle name="百分比 4 2 2 3 9 6" xfId="4722"/>
    <cellStyle name="百分比 4 2 2 3 9 7" xfId="4723"/>
    <cellStyle name="百分比 4 2 2 4" xfId="4724"/>
    <cellStyle name="百分比 4 2 2 4 10" xfId="4725"/>
    <cellStyle name="百分比 4 2 2 4 10 2" xfId="4726"/>
    <cellStyle name="百分比 4 2 2 4 10 3" xfId="4727"/>
    <cellStyle name="百分比 4 2 2 4 10 4" xfId="4728"/>
    <cellStyle name="百分比 4 2 2 4 10 5" xfId="4729"/>
    <cellStyle name="百分比 4 2 2 4 10 6" xfId="4730"/>
    <cellStyle name="百分比 4 2 2 4 11" xfId="4731"/>
    <cellStyle name="百分比 4 2 2 4 12" xfId="4732"/>
    <cellStyle name="百分比 4 2 2 4 13" xfId="4733"/>
    <cellStyle name="百分比 4 2 2 4 14" xfId="4734"/>
    <cellStyle name="百分比 4 2 2 4 15" xfId="4735"/>
    <cellStyle name="百分比 4 2 2 4 16" xfId="4736"/>
    <cellStyle name="百分比 4 2 2 4 2" xfId="4737"/>
    <cellStyle name="百分比 4 2 2 4 2 2" xfId="4738"/>
    <cellStyle name="百分比 4 2 2 4 2 2 2" xfId="4739"/>
    <cellStyle name="百分比 4 2 2 4 2 2 3" xfId="4740"/>
    <cellStyle name="百分比 4 2 2 4 2 2 4" xfId="4741"/>
    <cellStyle name="百分比 4 2 2 4 2 2 5" xfId="4742"/>
    <cellStyle name="百分比 4 2 2 4 2 2 6" xfId="4743"/>
    <cellStyle name="百分比 4 2 2 4 2 3" xfId="4744"/>
    <cellStyle name="百分比 4 2 2 4 2 4" xfId="4745"/>
    <cellStyle name="百分比 4 2 2 4 2 5" xfId="4746"/>
    <cellStyle name="百分比 4 2 2 4 2 6" xfId="4747"/>
    <cellStyle name="百分比 4 2 2 4 2 7" xfId="4748"/>
    <cellStyle name="百分比 4 2 2 4 2 8" xfId="4749"/>
    <cellStyle name="百分比 4 2 2 4 3" xfId="4750"/>
    <cellStyle name="百分比 4 2 2 4 3 2" xfId="4751"/>
    <cellStyle name="百分比 4 2 2 4 3 2 2" xfId="4752"/>
    <cellStyle name="百分比 4 2 2 4 3 2 3" xfId="4753"/>
    <cellStyle name="百分比 4 2 2 4 3 2 4" xfId="4754"/>
    <cellStyle name="百分比 4 2 2 4 3 2 5" xfId="4755"/>
    <cellStyle name="百分比 4 2 2 4 3 2 6" xfId="4756"/>
    <cellStyle name="百分比 4 2 2 4 3 3" xfId="4757"/>
    <cellStyle name="百分比 4 2 2 4 3 4" xfId="4758"/>
    <cellStyle name="百分比 4 2 2 4 3 5" xfId="4759"/>
    <cellStyle name="百分比 4 2 2 4 3 6" xfId="4760"/>
    <cellStyle name="百分比 4 2 2 4 3 7" xfId="4761"/>
    <cellStyle name="百分比 4 2 2 4 3 8" xfId="4762"/>
    <cellStyle name="百分比 4 2 2 4 4" xfId="4763"/>
    <cellStyle name="百分比 4 2 2 4 4 2" xfId="4764"/>
    <cellStyle name="百分比 4 2 2 4 4 2 2" xfId="4765"/>
    <cellStyle name="百分比 4 2 2 4 4 2 3" xfId="4766"/>
    <cellStyle name="百分比 4 2 2 4 4 2 4" xfId="4767"/>
    <cellStyle name="百分比 4 2 2 4 4 2 5" xfId="4768"/>
    <cellStyle name="百分比 4 2 2 4 4 2 6" xfId="4769"/>
    <cellStyle name="百分比 4 2 2 4 4 3" xfId="4770"/>
    <cellStyle name="百分比 4 2 2 4 4 4" xfId="4771"/>
    <cellStyle name="百分比 4 2 2 4 4 5" xfId="4772"/>
    <cellStyle name="百分比 4 2 2 4 4 6" xfId="4773"/>
    <cellStyle name="百分比 4 2 2 4 4 7" xfId="4774"/>
    <cellStyle name="百分比 4 2 2 4 5" xfId="4775"/>
    <cellStyle name="百分比 4 2 2 4 5 2" xfId="4776"/>
    <cellStyle name="百分比 4 2 2 4 5 2 2" xfId="4777"/>
    <cellStyle name="百分比 4 2 2 4 5 2 3" xfId="4778"/>
    <cellStyle name="百分比 4 2 2 4 5 2 4" xfId="4779"/>
    <cellStyle name="百分比 4 2 2 4 5 2 5" xfId="4780"/>
    <cellStyle name="百分比 4 2 2 4 5 2 6" xfId="4781"/>
    <cellStyle name="百分比 4 2 2 4 5 3" xfId="4782"/>
    <cellStyle name="百分比 4 2 2 4 5 4" xfId="4783"/>
    <cellStyle name="百分比 4 2 2 4 5 5" xfId="4784"/>
    <cellStyle name="百分比 4 2 2 4 5 6" xfId="4785"/>
    <cellStyle name="百分比 4 2 2 4 5 7" xfId="4786"/>
    <cellStyle name="百分比 4 2 2 4 6" xfId="4787"/>
    <cellStyle name="百分比 4 2 2 4 6 2" xfId="4788"/>
    <cellStyle name="百分比 4 2 2 4 6 2 2" xfId="4789"/>
    <cellStyle name="百分比 4 2 2 4 6 2 3" xfId="4790"/>
    <cellStyle name="百分比 4 2 2 4 6 2 4" xfId="4791"/>
    <cellStyle name="百分比 4 2 2 4 6 2 5" xfId="4792"/>
    <cellStyle name="百分比 4 2 2 4 6 2 6" xfId="4793"/>
    <cellStyle name="百分比 4 2 2 4 6 3" xfId="4794"/>
    <cellStyle name="百分比 4 2 2 4 6 4" xfId="4795"/>
    <cellStyle name="百分比 4 2 2 4 6 5" xfId="4796"/>
    <cellStyle name="百分比 4 2 2 4 6 6" xfId="4797"/>
    <cellStyle name="百分比 4 2 2 4 6 7" xfId="4798"/>
    <cellStyle name="百分比 4 2 2 4 7" xfId="4799"/>
    <cellStyle name="百分比 4 2 2 4 7 2" xfId="4800"/>
    <cellStyle name="百分比 4 2 2 4 7 2 2" xfId="4801"/>
    <cellStyle name="百分比 4 2 2 4 7 2 3" xfId="4802"/>
    <cellStyle name="百分比 4 2 2 4 7 2 4" xfId="4803"/>
    <cellStyle name="百分比 4 2 2 4 7 2 5" xfId="4804"/>
    <cellStyle name="百分比 4 2 2 4 7 2 6" xfId="4805"/>
    <cellStyle name="百分比 4 2 2 4 7 3" xfId="4806"/>
    <cellStyle name="百分比 4 2 2 4 7 4" xfId="4807"/>
    <cellStyle name="百分比 4 2 2 4 7 5" xfId="4808"/>
    <cellStyle name="百分比 4 2 2 4 7 6" xfId="4809"/>
    <cellStyle name="百分比 4 2 2 4 7 7" xfId="4810"/>
    <cellStyle name="百分比 4 2 2 4 8" xfId="4811"/>
    <cellStyle name="百分比 4 2 2 4 8 2" xfId="4812"/>
    <cellStyle name="百分比 4 2 2 4 8 2 2" xfId="4813"/>
    <cellStyle name="百分比 4 2 2 4 8 2 3" xfId="4814"/>
    <cellStyle name="百分比 4 2 2 4 8 2 4" xfId="4815"/>
    <cellStyle name="百分比 4 2 2 4 8 2 5" xfId="4816"/>
    <cellStyle name="百分比 4 2 2 4 8 2 6" xfId="4817"/>
    <cellStyle name="百分比 4 2 2 4 8 3" xfId="4818"/>
    <cellStyle name="百分比 4 2 2 4 8 4" xfId="4819"/>
    <cellStyle name="百分比 4 2 2 4 8 5" xfId="4820"/>
    <cellStyle name="百分比 4 2 2 4 8 6" xfId="4821"/>
    <cellStyle name="百分比 4 2 2 4 8 7" xfId="4822"/>
    <cellStyle name="百分比 4 2 2 4 9" xfId="4823"/>
    <cellStyle name="百分比 4 2 2 4 9 2" xfId="4824"/>
    <cellStyle name="百分比 4 2 2 4 9 2 2" xfId="4825"/>
    <cellStyle name="百分比 4 2 2 4 9 2 3" xfId="4826"/>
    <cellStyle name="百分比 4 2 2 4 9 2 4" xfId="4827"/>
    <cellStyle name="百分比 4 2 2 4 9 2 5" xfId="4828"/>
    <cellStyle name="百分比 4 2 2 4 9 2 6" xfId="4829"/>
    <cellStyle name="百分比 4 2 2 4 9 3" xfId="4830"/>
    <cellStyle name="百分比 4 2 2 4 9 4" xfId="4831"/>
    <cellStyle name="百分比 4 2 2 4 9 5" xfId="4832"/>
    <cellStyle name="百分比 4 2 2 4 9 6" xfId="4833"/>
    <cellStyle name="百分比 4 2 2 4 9 7" xfId="4834"/>
    <cellStyle name="百分比 4 2 2 5" xfId="4835"/>
    <cellStyle name="百分比 4 2 2 5 10" xfId="4836"/>
    <cellStyle name="百分比 4 2 2 5 11" xfId="4837"/>
    <cellStyle name="百分比 4 2 2 5 12" xfId="4838"/>
    <cellStyle name="百分比 4 2 2 5 13" xfId="4839"/>
    <cellStyle name="百分比 4 2 2 5 14" xfId="4840"/>
    <cellStyle name="百分比 4 2 2 5 15" xfId="4841"/>
    <cellStyle name="百分比 4 2 2 5 2" xfId="4842"/>
    <cellStyle name="百分比 4 2 2 5 2 2" xfId="4843"/>
    <cellStyle name="百分比 4 2 2 5 2 2 2" xfId="4844"/>
    <cellStyle name="百分比 4 2 2 5 2 2 3" xfId="4845"/>
    <cellStyle name="百分比 4 2 2 5 2 2 4" xfId="4846"/>
    <cellStyle name="百分比 4 2 2 5 2 2 5" xfId="4847"/>
    <cellStyle name="百分比 4 2 2 5 2 2 6" xfId="4848"/>
    <cellStyle name="百分比 4 2 2 5 2 3" xfId="4849"/>
    <cellStyle name="百分比 4 2 2 5 2 4" xfId="4850"/>
    <cellStyle name="百分比 4 2 2 5 2 5" xfId="4851"/>
    <cellStyle name="百分比 4 2 2 5 2 6" xfId="4852"/>
    <cellStyle name="百分比 4 2 2 5 2 7" xfId="4853"/>
    <cellStyle name="百分比 4 2 2 5 3" xfId="4854"/>
    <cellStyle name="百分比 4 2 2 5 3 2" xfId="4855"/>
    <cellStyle name="百分比 4 2 2 5 3 2 2" xfId="4856"/>
    <cellStyle name="百分比 4 2 2 5 3 2 3" xfId="4857"/>
    <cellStyle name="百分比 4 2 2 5 3 2 4" xfId="4858"/>
    <cellStyle name="百分比 4 2 2 5 3 2 5" xfId="4859"/>
    <cellStyle name="百分比 4 2 2 5 3 2 6" xfId="4860"/>
    <cellStyle name="百分比 4 2 2 5 3 3" xfId="4861"/>
    <cellStyle name="百分比 4 2 2 5 3 4" xfId="4862"/>
    <cellStyle name="百分比 4 2 2 5 3 5" xfId="4863"/>
    <cellStyle name="百分比 4 2 2 5 3 6" xfId="4864"/>
    <cellStyle name="百分比 4 2 2 5 3 7" xfId="4865"/>
    <cellStyle name="百分比 4 2 2 5 4" xfId="4866"/>
    <cellStyle name="百分比 4 2 2 5 4 2" xfId="4867"/>
    <cellStyle name="百分比 4 2 2 5 4 2 2" xfId="4868"/>
    <cellStyle name="百分比 4 2 2 5 4 2 3" xfId="4869"/>
    <cellStyle name="百分比 4 2 2 5 4 2 4" xfId="4870"/>
    <cellStyle name="百分比 4 2 2 5 4 2 5" xfId="4871"/>
    <cellStyle name="百分比 4 2 2 5 4 2 6" xfId="4872"/>
    <cellStyle name="百分比 4 2 2 5 4 3" xfId="4873"/>
    <cellStyle name="百分比 4 2 2 5 4 4" xfId="4874"/>
    <cellStyle name="百分比 4 2 2 5 4 5" xfId="4875"/>
    <cellStyle name="百分比 4 2 2 5 4 6" xfId="4876"/>
    <cellStyle name="百分比 4 2 2 5 4 7" xfId="4877"/>
    <cellStyle name="百分比 4 2 2 5 5" xfId="4878"/>
    <cellStyle name="百分比 4 2 2 5 5 2" xfId="4879"/>
    <cellStyle name="百分比 4 2 2 5 5 2 2" xfId="4880"/>
    <cellStyle name="百分比 4 2 2 5 5 2 3" xfId="4881"/>
    <cellStyle name="百分比 4 2 2 5 5 2 4" xfId="4882"/>
    <cellStyle name="百分比 4 2 2 5 5 2 5" xfId="4883"/>
    <cellStyle name="百分比 4 2 2 5 5 2 6" xfId="4884"/>
    <cellStyle name="百分比 4 2 2 5 5 3" xfId="4885"/>
    <cellStyle name="百分比 4 2 2 5 5 4" xfId="4886"/>
    <cellStyle name="百分比 4 2 2 5 5 5" xfId="4887"/>
    <cellStyle name="百分比 4 2 2 5 5 6" xfId="4888"/>
    <cellStyle name="百分比 4 2 2 5 5 7" xfId="4889"/>
    <cellStyle name="百分比 4 2 2 5 6" xfId="4890"/>
    <cellStyle name="百分比 4 2 2 5 6 2" xfId="4891"/>
    <cellStyle name="百分比 4 2 2 5 6 2 2" xfId="4892"/>
    <cellStyle name="百分比 4 2 2 5 6 2 3" xfId="4893"/>
    <cellStyle name="百分比 4 2 2 5 6 2 4" xfId="4894"/>
    <cellStyle name="百分比 4 2 2 5 6 2 5" xfId="4895"/>
    <cellStyle name="百分比 4 2 2 5 6 2 6" xfId="4896"/>
    <cellStyle name="百分比 4 2 2 5 6 3" xfId="4897"/>
    <cellStyle name="百分比 4 2 2 5 6 4" xfId="4898"/>
    <cellStyle name="百分比 4 2 2 5 6 5" xfId="4899"/>
    <cellStyle name="百分比 4 2 2 5 6 6" xfId="4900"/>
    <cellStyle name="百分比 4 2 2 5 6 7" xfId="4901"/>
    <cellStyle name="百分比 4 2 2 5 7" xfId="4902"/>
    <cellStyle name="百分比 4 2 2 5 7 2" xfId="4903"/>
    <cellStyle name="百分比 4 2 2 5 7 2 2" xfId="4904"/>
    <cellStyle name="百分比 4 2 2 5 7 2 3" xfId="4905"/>
    <cellStyle name="百分比 4 2 2 5 7 2 4" xfId="4906"/>
    <cellStyle name="百分比 4 2 2 5 7 2 5" xfId="4907"/>
    <cellStyle name="百分比 4 2 2 5 7 2 6" xfId="4908"/>
    <cellStyle name="百分比 4 2 2 5 7 3" xfId="4909"/>
    <cellStyle name="百分比 4 2 2 5 7 4" xfId="4910"/>
    <cellStyle name="百分比 4 2 2 5 7 5" xfId="4911"/>
    <cellStyle name="百分比 4 2 2 5 7 6" xfId="4912"/>
    <cellStyle name="百分比 4 2 2 5 7 7" xfId="4913"/>
    <cellStyle name="百分比 4 2 2 5 8" xfId="4914"/>
    <cellStyle name="百分比 4 2 2 5 8 2" xfId="4915"/>
    <cellStyle name="百分比 4 2 2 5 8 2 2" xfId="4916"/>
    <cellStyle name="百分比 4 2 2 5 8 2 3" xfId="4917"/>
    <cellStyle name="百分比 4 2 2 5 8 2 4" xfId="4918"/>
    <cellStyle name="百分比 4 2 2 5 8 2 5" xfId="4919"/>
    <cellStyle name="百分比 4 2 2 5 8 2 6" xfId="4920"/>
    <cellStyle name="百分比 4 2 2 5 8 3" xfId="4921"/>
    <cellStyle name="百分比 4 2 2 5 8 4" xfId="4922"/>
    <cellStyle name="百分比 4 2 2 5 8 5" xfId="4923"/>
    <cellStyle name="百分比 4 2 2 5 8 6" xfId="4924"/>
    <cellStyle name="百分比 4 2 2 5 8 7" xfId="4925"/>
    <cellStyle name="百分比 4 2 2 5 9" xfId="4926"/>
    <cellStyle name="百分比 4 2 2 5 9 2" xfId="4927"/>
    <cellStyle name="百分比 4 2 2 5 9 3" xfId="4928"/>
    <cellStyle name="百分比 4 2 2 5 9 4" xfId="4929"/>
    <cellStyle name="百分比 4 2 2 5 9 5" xfId="4930"/>
    <cellStyle name="百分比 4 2 2 5 9 6" xfId="4931"/>
    <cellStyle name="百分比 4 2 2 6" xfId="4932"/>
    <cellStyle name="百分比 4 2 2 6 10" xfId="4933"/>
    <cellStyle name="百分比 4 2 2 6 11" xfId="4934"/>
    <cellStyle name="百分比 4 2 2 6 12" xfId="4935"/>
    <cellStyle name="百分比 4 2 2 6 13" xfId="4936"/>
    <cellStyle name="百分比 4 2 2 6 14" xfId="4937"/>
    <cellStyle name="百分比 4 2 2 6 2" xfId="4938"/>
    <cellStyle name="百分比 4 2 2 6 2 2" xfId="4939"/>
    <cellStyle name="百分比 4 2 2 6 2 2 2" xfId="4940"/>
    <cellStyle name="百分比 4 2 2 6 2 2 3" xfId="4941"/>
    <cellStyle name="百分比 4 2 2 6 2 2 4" xfId="4942"/>
    <cellStyle name="百分比 4 2 2 6 2 2 5" xfId="4943"/>
    <cellStyle name="百分比 4 2 2 6 2 2 6" xfId="4944"/>
    <cellStyle name="百分比 4 2 2 6 2 3" xfId="4945"/>
    <cellStyle name="百分比 4 2 2 6 2 4" xfId="4946"/>
    <cellStyle name="百分比 4 2 2 6 2 5" xfId="4947"/>
    <cellStyle name="百分比 4 2 2 6 2 6" xfId="4948"/>
    <cellStyle name="百分比 4 2 2 6 2 7" xfId="4949"/>
    <cellStyle name="百分比 4 2 2 6 3" xfId="4950"/>
    <cellStyle name="百分比 4 2 2 6 3 2" xfId="4951"/>
    <cellStyle name="百分比 4 2 2 6 3 2 2" xfId="4952"/>
    <cellStyle name="百分比 4 2 2 6 3 2 3" xfId="4953"/>
    <cellStyle name="百分比 4 2 2 6 3 2 4" xfId="4954"/>
    <cellStyle name="百分比 4 2 2 6 3 2 5" xfId="4955"/>
    <cellStyle name="百分比 4 2 2 6 3 2 6" xfId="4956"/>
    <cellStyle name="百分比 4 2 2 6 3 3" xfId="4957"/>
    <cellStyle name="百分比 4 2 2 6 3 4" xfId="4958"/>
    <cellStyle name="百分比 4 2 2 6 3 5" xfId="4959"/>
    <cellStyle name="百分比 4 2 2 6 3 6" xfId="4960"/>
    <cellStyle name="百分比 4 2 2 6 3 7" xfId="4961"/>
    <cellStyle name="百分比 4 2 2 6 4" xfId="4962"/>
    <cellStyle name="百分比 4 2 2 6 4 2" xfId="4963"/>
    <cellStyle name="百分比 4 2 2 6 4 2 2" xfId="4964"/>
    <cellStyle name="百分比 4 2 2 6 4 2 3" xfId="4965"/>
    <cellStyle name="百分比 4 2 2 6 4 2 4" xfId="4966"/>
    <cellStyle name="百分比 4 2 2 6 4 2 5" xfId="4967"/>
    <cellStyle name="百分比 4 2 2 6 4 2 6" xfId="4968"/>
    <cellStyle name="百分比 4 2 2 6 4 3" xfId="4969"/>
    <cellStyle name="百分比 4 2 2 6 4 4" xfId="4970"/>
    <cellStyle name="百分比 4 2 2 6 4 5" xfId="4971"/>
    <cellStyle name="百分比 4 2 2 6 4 6" xfId="4972"/>
    <cellStyle name="百分比 4 2 2 6 4 7" xfId="4973"/>
    <cellStyle name="百分比 4 2 2 6 5" xfId="4974"/>
    <cellStyle name="百分比 4 2 2 6 5 2" xfId="4975"/>
    <cellStyle name="百分比 4 2 2 6 5 2 2" xfId="4976"/>
    <cellStyle name="百分比 4 2 2 6 5 2 3" xfId="4977"/>
    <cellStyle name="百分比 4 2 2 6 5 2 4" xfId="4978"/>
    <cellStyle name="百分比 4 2 2 6 5 2 5" xfId="4979"/>
    <cellStyle name="百分比 4 2 2 6 5 2 6" xfId="4980"/>
    <cellStyle name="百分比 4 2 2 6 5 3" xfId="4981"/>
    <cellStyle name="百分比 4 2 2 6 5 4" xfId="4982"/>
    <cellStyle name="百分比 4 2 2 6 5 5" xfId="4983"/>
    <cellStyle name="百分比 4 2 2 6 5 6" xfId="4984"/>
    <cellStyle name="百分比 4 2 2 6 5 7" xfId="4985"/>
    <cellStyle name="百分比 4 2 2 6 6" xfId="4986"/>
    <cellStyle name="百分比 4 2 2 6 6 2" xfId="4987"/>
    <cellStyle name="百分比 4 2 2 6 6 2 2" xfId="4988"/>
    <cellStyle name="百分比 4 2 2 6 6 2 3" xfId="4989"/>
    <cellStyle name="百分比 4 2 2 6 6 2 4" xfId="4990"/>
    <cellStyle name="百分比 4 2 2 6 6 2 5" xfId="4991"/>
    <cellStyle name="百分比 4 2 2 6 6 2 6" xfId="4992"/>
    <cellStyle name="百分比 4 2 2 6 6 3" xfId="4993"/>
    <cellStyle name="百分比 4 2 2 6 6 4" xfId="4994"/>
    <cellStyle name="百分比 4 2 2 6 6 5" xfId="4995"/>
    <cellStyle name="百分比 4 2 2 6 6 6" xfId="4996"/>
    <cellStyle name="百分比 4 2 2 6 6 7" xfId="4997"/>
    <cellStyle name="百分比 4 2 2 6 7" xfId="4998"/>
    <cellStyle name="百分比 4 2 2 6 7 2" xfId="4999"/>
    <cellStyle name="百分比 4 2 2 6 7 2 2" xfId="5000"/>
    <cellStyle name="百分比 4 2 2 6 7 2 3" xfId="5001"/>
    <cellStyle name="百分比 4 2 2 6 7 2 4" xfId="5002"/>
    <cellStyle name="百分比 4 2 2 6 7 2 5" xfId="5003"/>
    <cellStyle name="百分比 4 2 2 6 7 2 6" xfId="5004"/>
    <cellStyle name="百分比 4 2 2 6 7 3" xfId="5005"/>
    <cellStyle name="百分比 4 2 2 6 7 4" xfId="5006"/>
    <cellStyle name="百分比 4 2 2 6 7 5" xfId="5007"/>
    <cellStyle name="百分比 4 2 2 6 7 6" xfId="5008"/>
    <cellStyle name="百分比 4 2 2 6 7 7" xfId="5009"/>
    <cellStyle name="百分比 4 2 2 6 8" xfId="5010"/>
    <cellStyle name="百分比 4 2 2 6 8 2" xfId="5011"/>
    <cellStyle name="百分比 4 2 2 6 8 3" xfId="5012"/>
    <cellStyle name="百分比 4 2 2 6 8 4" xfId="5013"/>
    <cellStyle name="百分比 4 2 2 6 8 5" xfId="5014"/>
    <cellStyle name="百分比 4 2 2 6 8 6" xfId="5015"/>
    <cellStyle name="百分比 4 2 2 6 9" xfId="5016"/>
    <cellStyle name="百分比 4 2 2 7" xfId="5017"/>
    <cellStyle name="百分比 4 2 2 7 10" xfId="5018"/>
    <cellStyle name="百分比 4 2 2 7 11" xfId="5019"/>
    <cellStyle name="百分比 4 2 2 7 12" xfId="5020"/>
    <cellStyle name="百分比 4 2 2 7 2" xfId="5021"/>
    <cellStyle name="百分比 4 2 2 7 2 2" xfId="5022"/>
    <cellStyle name="百分比 4 2 2 7 2 2 2" xfId="5023"/>
    <cellStyle name="百分比 4 2 2 7 2 2 3" xfId="5024"/>
    <cellStyle name="百分比 4 2 2 7 2 2 4" xfId="5025"/>
    <cellStyle name="百分比 4 2 2 7 2 2 5" xfId="5026"/>
    <cellStyle name="百分比 4 2 2 7 2 2 6" xfId="5027"/>
    <cellStyle name="百分比 4 2 2 7 2 3" xfId="5028"/>
    <cellStyle name="百分比 4 2 2 7 2 4" xfId="5029"/>
    <cellStyle name="百分比 4 2 2 7 2 5" xfId="5030"/>
    <cellStyle name="百分比 4 2 2 7 2 6" xfId="5031"/>
    <cellStyle name="百分比 4 2 2 7 2 7" xfId="5032"/>
    <cellStyle name="百分比 4 2 2 7 3" xfId="5033"/>
    <cellStyle name="百分比 4 2 2 7 3 2" xfId="5034"/>
    <cellStyle name="百分比 4 2 2 7 3 2 2" xfId="5035"/>
    <cellStyle name="百分比 4 2 2 7 3 2 3" xfId="5036"/>
    <cellStyle name="百分比 4 2 2 7 3 2 4" xfId="5037"/>
    <cellStyle name="百分比 4 2 2 7 3 2 5" xfId="5038"/>
    <cellStyle name="百分比 4 2 2 7 3 2 6" xfId="5039"/>
    <cellStyle name="百分比 4 2 2 7 3 3" xfId="5040"/>
    <cellStyle name="百分比 4 2 2 7 3 4" xfId="5041"/>
    <cellStyle name="百分比 4 2 2 7 3 5" xfId="5042"/>
    <cellStyle name="百分比 4 2 2 7 3 6" xfId="5043"/>
    <cellStyle name="百分比 4 2 2 7 3 7" xfId="5044"/>
    <cellStyle name="百分比 4 2 2 7 4" xfId="5045"/>
    <cellStyle name="百分比 4 2 2 7 4 2" xfId="5046"/>
    <cellStyle name="百分比 4 2 2 7 4 2 2" xfId="5047"/>
    <cellStyle name="百分比 4 2 2 7 4 2 3" xfId="5048"/>
    <cellStyle name="百分比 4 2 2 7 4 2 4" xfId="5049"/>
    <cellStyle name="百分比 4 2 2 7 4 2 5" xfId="5050"/>
    <cellStyle name="百分比 4 2 2 7 4 2 6" xfId="5051"/>
    <cellStyle name="百分比 4 2 2 7 4 3" xfId="5052"/>
    <cellStyle name="百分比 4 2 2 7 4 4" xfId="5053"/>
    <cellStyle name="百分比 4 2 2 7 4 5" xfId="5054"/>
    <cellStyle name="百分比 4 2 2 7 4 6" xfId="5055"/>
    <cellStyle name="百分比 4 2 2 7 4 7" xfId="5056"/>
    <cellStyle name="百分比 4 2 2 7 5" xfId="5057"/>
    <cellStyle name="百分比 4 2 2 7 5 2" xfId="5058"/>
    <cellStyle name="百分比 4 2 2 7 5 2 2" xfId="5059"/>
    <cellStyle name="百分比 4 2 2 7 5 2 3" xfId="5060"/>
    <cellStyle name="百分比 4 2 2 7 5 2 4" xfId="5061"/>
    <cellStyle name="百分比 4 2 2 7 5 2 5" xfId="5062"/>
    <cellStyle name="百分比 4 2 2 7 5 2 6" xfId="5063"/>
    <cellStyle name="百分比 4 2 2 7 5 3" xfId="5064"/>
    <cellStyle name="百分比 4 2 2 7 5 4" xfId="5065"/>
    <cellStyle name="百分比 4 2 2 7 5 5" xfId="5066"/>
    <cellStyle name="百分比 4 2 2 7 5 6" xfId="5067"/>
    <cellStyle name="百分比 4 2 2 7 5 7" xfId="5068"/>
    <cellStyle name="百分比 4 2 2 7 6" xfId="5069"/>
    <cellStyle name="百分比 4 2 2 7 6 2" xfId="5070"/>
    <cellStyle name="百分比 4 2 2 7 6 2 2" xfId="5071"/>
    <cellStyle name="百分比 4 2 2 7 6 2 3" xfId="5072"/>
    <cellStyle name="百分比 4 2 2 7 6 2 4" xfId="5073"/>
    <cellStyle name="百分比 4 2 2 7 6 2 5" xfId="5074"/>
    <cellStyle name="百分比 4 2 2 7 6 2 6" xfId="5075"/>
    <cellStyle name="百分比 4 2 2 7 6 3" xfId="5076"/>
    <cellStyle name="百分比 4 2 2 7 6 4" xfId="5077"/>
    <cellStyle name="百分比 4 2 2 7 6 5" xfId="5078"/>
    <cellStyle name="百分比 4 2 2 7 6 6" xfId="5079"/>
    <cellStyle name="百分比 4 2 2 7 6 7" xfId="5080"/>
    <cellStyle name="百分比 4 2 2 7 7" xfId="5081"/>
    <cellStyle name="百分比 4 2 2 7 7 2" xfId="5082"/>
    <cellStyle name="百分比 4 2 2 7 7 3" xfId="5083"/>
    <cellStyle name="百分比 4 2 2 7 7 4" xfId="5084"/>
    <cellStyle name="百分比 4 2 2 7 7 5" xfId="5085"/>
    <cellStyle name="百分比 4 2 2 7 7 6" xfId="5086"/>
    <cellStyle name="百分比 4 2 2 7 8" xfId="5087"/>
    <cellStyle name="百分比 4 2 2 7 9" xfId="5088"/>
    <cellStyle name="百分比 4 2 2 8" xfId="5089"/>
    <cellStyle name="百分比 4 2 2 8 10" xfId="5090"/>
    <cellStyle name="百分比 4 2 2 8 11" xfId="5091"/>
    <cellStyle name="百分比 4 2 2 8 12" xfId="5092"/>
    <cellStyle name="百分比 4 2 2 8 2" xfId="5093"/>
    <cellStyle name="百分比 4 2 2 8 2 2" xfId="5094"/>
    <cellStyle name="百分比 4 2 2 8 2 2 2" xfId="5095"/>
    <cellStyle name="百分比 4 2 2 8 2 2 3" xfId="5096"/>
    <cellStyle name="百分比 4 2 2 8 2 2 4" xfId="5097"/>
    <cellStyle name="百分比 4 2 2 8 2 2 5" xfId="5098"/>
    <cellStyle name="百分比 4 2 2 8 2 2 6" xfId="5099"/>
    <cellStyle name="百分比 4 2 2 8 2 3" xfId="5100"/>
    <cellStyle name="百分比 4 2 2 8 2 4" xfId="5101"/>
    <cellStyle name="百分比 4 2 2 8 2 5" xfId="5102"/>
    <cellStyle name="百分比 4 2 2 8 2 6" xfId="5103"/>
    <cellStyle name="百分比 4 2 2 8 2 7" xfId="5104"/>
    <cellStyle name="百分比 4 2 2 8 3" xfId="5105"/>
    <cellStyle name="百分比 4 2 2 8 3 2" xfId="5106"/>
    <cellStyle name="百分比 4 2 2 8 3 2 2" xfId="5107"/>
    <cellStyle name="百分比 4 2 2 8 3 2 3" xfId="5108"/>
    <cellStyle name="百分比 4 2 2 8 3 2 4" xfId="5109"/>
    <cellStyle name="百分比 4 2 2 8 3 2 5" xfId="5110"/>
    <cellStyle name="百分比 4 2 2 8 3 2 6" xfId="5111"/>
    <cellStyle name="百分比 4 2 2 8 3 3" xfId="5112"/>
    <cellStyle name="百分比 4 2 2 8 3 4" xfId="5113"/>
    <cellStyle name="百分比 4 2 2 8 3 5" xfId="5114"/>
    <cellStyle name="百分比 4 2 2 8 3 6" xfId="5115"/>
    <cellStyle name="百分比 4 2 2 8 3 7" xfId="5116"/>
    <cellStyle name="百分比 4 2 2 8 4" xfId="5117"/>
    <cellStyle name="百分比 4 2 2 8 4 2" xfId="5118"/>
    <cellStyle name="百分比 4 2 2 8 4 2 2" xfId="5119"/>
    <cellStyle name="百分比 4 2 2 8 4 2 3" xfId="5120"/>
    <cellStyle name="百分比 4 2 2 8 4 2 4" xfId="5121"/>
    <cellStyle name="百分比 4 2 2 8 4 2 5" xfId="5122"/>
    <cellStyle name="百分比 4 2 2 8 4 2 6" xfId="5123"/>
    <cellStyle name="百分比 4 2 2 8 4 3" xfId="5124"/>
    <cellStyle name="百分比 4 2 2 8 4 4" xfId="5125"/>
    <cellStyle name="百分比 4 2 2 8 4 5" xfId="5126"/>
    <cellStyle name="百分比 4 2 2 8 4 6" xfId="5127"/>
    <cellStyle name="百分比 4 2 2 8 4 7" xfId="5128"/>
    <cellStyle name="百分比 4 2 2 8 5" xfId="5129"/>
    <cellStyle name="百分比 4 2 2 8 5 2" xfId="5130"/>
    <cellStyle name="百分比 4 2 2 8 5 2 2" xfId="5131"/>
    <cellStyle name="百分比 4 2 2 8 5 2 3" xfId="5132"/>
    <cellStyle name="百分比 4 2 2 8 5 2 4" xfId="5133"/>
    <cellStyle name="百分比 4 2 2 8 5 2 5" xfId="5134"/>
    <cellStyle name="百分比 4 2 2 8 5 2 6" xfId="5135"/>
    <cellStyle name="百分比 4 2 2 8 5 3" xfId="5136"/>
    <cellStyle name="百分比 4 2 2 8 5 4" xfId="5137"/>
    <cellStyle name="百分比 4 2 2 8 5 5" xfId="5138"/>
    <cellStyle name="百分比 4 2 2 8 5 6" xfId="5139"/>
    <cellStyle name="百分比 4 2 2 8 5 7" xfId="5140"/>
    <cellStyle name="百分比 4 2 2 8 6" xfId="5141"/>
    <cellStyle name="百分比 4 2 2 8 6 2" xfId="5142"/>
    <cellStyle name="百分比 4 2 2 8 6 3" xfId="5143"/>
    <cellStyle name="百分比 4 2 2 8 6 4" xfId="5144"/>
    <cellStyle name="百分比 4 2 2 8 6 5" xfId="5145"/>
    <cellStyle name="百分比 4 2 2 8 6 6" xfId="5146"/>
    <cellStyle name="百分比 4 2 2 8 7" xfId="5147"/>
    <cellStyle name="百分比 4 2 2 8 8" xfId="5148"/>
    <cellStyle name="百分比 4 2 2 8 9" xfId="5149"/>
    <cellStyle name="百分比 4 2 2 9" xfId="5150"/>
    <cellStyle name="百分比 4 2 2 9 10" xfId="5151"/>
    <cellStyle name="百分比 4 2 2 9 2" xfId="5152"/>
    <cellStyle name="百分比 4 2 2 9 2 2" xfId="5153"/>
    <cellStyle name="百分比 4 2 2 9 2 2 2" xfId="5154"/>
    <cellStyle name="百分比 4 2 2 9 2 2 3" xfId="5155"/>
    <cellStyle name="百分比 4 2 2 9 2 2 4" xfId="5156"/>
    <cellStyle name="百分比 4 2 2 9 2 2 5" xfId="5157"/>
    <cellStyle name="百分比 4 2 2 9 2 2 6" xfId="5158"/>
    <cellStyle name="百分比 4 2 2 9 2 3" xfId="5159"/>
    <cellStyle name="百分比 4 2 2 9 2 4" xfId="5160"/>
    <cellStyle name="百分比 4 2 2 9 2 5" xfId="5161"/>
    <cellStyle name="百分比 4 2 2 9 2 6" xfId="5162"/>
    <cellStyle name="百分比 4 2 2 9 2 7" xfId="5163"/>
    <cellStyle name="百分比 4 2 2 9 3" xfId="5164"/>
    <cellStyle name="百分比 4 2 2 9 3 2" xfId="5165"/>
    <cellStyle name="百分比 4 2 2 9 3 2 2" xfId="5166"/>
    <cellStyle name="百分比 4 2 2 9 3 2 3" xfId="5167"/>
    <cellStyle name="百分比 4 2 2 9 3 2 4" xfId="5168"/>
    <cellStyle name="百分比 4 2 2 9 3 2 5" xfId="5169"/>
    <cellStyle name="百分比 4 2 2 9 3 2 6" xfId="5170"/>
    <cellStyle name="百分比 4 2 2 9 3 3" xfId="5171"/>
    <cellStyle name="百分比 4 2 2 9 3 4" xfId="5172"/>
    <cellStyle name="百分比 4 2 2 9 3 5" xfId="5173"/>
    <cellStyle name="百分比 4 2 2 9 3 6" xfId="5174"/>
    <cellStyle name="百分比 4 2 2 9 3 7" xfId="5175"/>
    <cellStyle name="百分比 4 2 2 9 4" xfId="5176"/>
    <cellStyle name="百分比 4 2 2 9 4 2" xfId="5177"/>
    <cellStyle name="百分比 4 2 2 9 4 2 2" xfId="5178"/>
    <cellStyle name="百分比 4 2 2 9 4 2 3" xfId="5179"/>
    <cellStyle name="百分比 4 2 2 9 4 2 4" xfId="5180"/>
    <cellStyle name="百分比 4 2 2 9 4 2 5" xfId="5181"/>
    <cellStyle name="百分比 4 2 2 9 4 2 6" xfId="5182"/>
    <cellStyle name="百分比 4 2 2 9 4 3" xfId="5183"/>
    <cellStyle name="百分比 4 2 2 9 4 4" xfId="5184"/>
    <cellStyle name="百分比 4 2 2 9 4 5" xfId="5185"/>
    <cellStyle name="百分比 4 2 2 9 4 6" xfId="5186"/>
    <cellStyle name="百分比 4 2 2 9 4 7" xfId="5187"/>
    <cellStyle name="百分比 4 2 2 9 5" xfId="5188"/>
    <cellStyle name="百分比 4 2 2 9 5 2" xfId="5189"/>
    <cellStyle name="百分比 4 2 2 9 5 3" xfId="5190"/>
    <cellStyle name="百分比 4 2 2 9 5 4" xfId="5191"/>
    <cellStyle name="百分比 4 2 2 9 5 5" xfId="5192"/>
    <cellStyle name="百分比 4 2 2 9 5 6" xfId="5193"/>
    <cellStyle name="百分比 4 2 2 9 6" xfId="5194"/>
    <cellStyle name="百分比 4 2 2 9 7" xfId="5195"/>
    <cellStyle name="百分比 4 2 2 9 8" xfId="5196"/>
    <cellStyle name="百分比 4 2 2 9 9" xfId="5197"/>
    <cellStyle name="百分比 4 2 20" xfId="5198"/>
    <cellStyle name="百分比 4 2 20 2" xfId="5199"/>
    <cellStyle name="百分比 4 2 20 3" xfId="5200"/>
    <cellStyle name="百分比 4 2 20 4" xfId="5201"/>
    <cellStyle name="百分比 4 2 20 5" xfId="5202"/>
    <cellStyle name="百分比 4 2 20 6" xfId="5203"/>
    <cellStyle name="百分比 4 2 21" xfId="5204"/>
    <cellStyle name="百分比 4 2 22" xfId="5205"/>
    <cellStyle name="百分比 4 2 23" xfId="5206"/>
    <cellStyle name="百分比 4 2 24" xfId="5207"/>
    <cellStyle name="百分比 4 2 25" xfId="5208"/>
    <cellStyle name="百分比 4 2 26" xfId="5209"/>
    <cellStyle name="百分比 4 2 3" xfId="5210"/>
    <cellStyle name="百分比 4 2 3 10" xfId="5211"/>
    <cellStyle name="百分比 4 2 3 10 2" xfId="5212"/>
    <cellStyle name="百分比 4 2 3 10 2 2" xfId="5213"/>
    <cellStyle name="百分比 4 2 3 10 2 3" xfId="5214"/>
    <cellStyle name="百分比 4 2 3 10 2 4" xfId="5215"/>
    <cellStyle name="百分比 4 2 3 10 2 5" xfId="5216"/>
    <cellStyle name="百分比 4 2 3 10 2 6" xfId="5217"/>
    <cellStyle name="百分比 4 2 3 10 3" xfId="5218"/>
    <cellStyle name="百分比 4 2 3 10 4" xfId="5219"/>
    <cellStyle name="百分比 4 2 3 10 5" xfId="5220"/>
    <cellStyle name="百分比 4 2 3 10 6" xfId="5221"/>
    <cellStyle name="百分比 4 2 3 10 7" xfId="5222"/>
    <cellStyle name="百分比 4 2 3 11" xfId="5223"/>
    <cellStyle name="百分比 4 2 3 11 2" xfId="5224"/>
    <cellStyle name="百分比 4 2 3 11 2 2" xfId="5225"/>
    <cellStyle name="百分比 4 2 3 11 2 3" xfId="5226"/>
    <cellStyle name="百分比 4 2 3 11 2 4" xfId="5227"/>
    <cellStyle name="百分比 4 2 3 11 2 5" xfId="5228"/>
    <cellStyle name="百分比 4 2 3 11 2 6" xfId="5229"/>
    <cellStyle name="百分比 4 2 3 11 3" xfId="5230"/>
    <cellStyle name="百分比 4 2 3 11 4" xfId="5231"/>
    <cellStyle name="百分比 4 2 3 11 5" xfId="5232"/>
    <cellStyle name="百分比 4 2 3 11 6" xfId="5233"/>
    <cellStyle name="百分比 4 2 3 11 7" xfId="5234"/>
    <cellStyle name="百分比 4 2 3 12" xfId="5235"/>
    <cellStyle name="百分比 4 2 3 12 2" xfId="5236"/>
    <cellStyle name="百分比 4 2 3 12 3" xfId="5237"/>
    <cellStyle name="百分比 4 2 3 12 4" xfId="5238"/>
    <cellStyle name="百分比 4 2 3 12 5" xfId="5239"/>
    <cellStyle name="百分比 4 2 3 12 6" xfId="5240"/>
    <cellStyle name="百分比 4 2 3 13" xfId="5241"/>
    <cellStyle name="百分比 4 2 3 14" xfId="5242"/>
    <cellStyle name="百分比 4 2 3 15" xfId="5243"/>
    <cellStyle name="百分比 4 2 3 16" xfId="5244"/>
    <cellStyle name="百分比 4 2 3 17" xfId="5245"/>
    <cellStyle name="百分比 4 2 3 2" xfId="5246"/>
    <cellStyle name="百分比 4 2 3 2 2" xfId="5247"/>
    <cellStyle name="百分比 4 2 3 2 2 2" xfId="5248"/>
    <cellStyle name="百分比 4 2 3 2 2 2 2" xfId="5249"/>
    <cellStyle name="百分比 4 2 3 2 2 3" xfId="5250"/>
    <cellStyle name="百分比 4 2 3 2 2 4" xfId="5251"/>
    <cellStyle name="百分比 4 2 3 2 3" xfId="5252"/>
    <cellStyle name="百分比 4 2 3 2 3 2" xfId="5253"/>
    <cellStyle name="百分比 4 2 3 2 4" xfId="5254"/>
    <cellStyle name="百分比 4 2 3 2 5" xfId="5255"/>
    <cellStyle name="百分比 4 2 3 3" xfId="5256"/>
    <cellStyle name="百分比 4 2 3 3 2" xfId="5257"/>
    <cellStyle name="百分比 4 2 3 3 2 2" xfId="5258"/>
    <cellStyle name="百分比 4 2 3 3 2 3" xfId="5259"/>
    <cellStyle name="百分比 4 2 3 3 2 4" xfId="5260"/>
    <cellStyle name="百分比 4 2 3 3 2 5" xfId="5261"/>
    <cellStyle name="百分比 4 2 3 3 2 6" xfId="5262"/>
    <cellStyle name="百分比 4 2 3 3 2 7" xfId="5263"/>
    <cellStyle name="百分比 4 2 3 3 3" xfId="5264"/>
    <cellStyle name="百分比 4 2 3 3 3 2" xfId="5265"/>
    <cellStyle name="百分比 4 2 3 3 4" xfId="5266"/>
    <cellStyle name="百分比 4 2 3 3 5" xfId="5267"/>
    <cellStyle name="百分比 4 2 3 3 6" xfId="5268"/>
    <cellStyle name="百分比 4 2 3 3 7" xfId="5269"/>
    <cellStyle name="百分比 4 2 3 3 8" xfId="5270"/>
    <cellStyle name="百分比 4 2 3 4" xfId="5271"/>
    <cellStyle name="百分比 4 2 3 4 2" xfId="5272"/>
    <cellStyle name="百分比 4 2 3 4 2 2" xfId="5273"/>
    <cellStyle name="百分比 4 2 3 4 2 3" xfId="5274"/>
    <cellStyle name="百分比 4 2 3 4 2 4" xfId="5275"/>
    <cellStyle name="百分比 4 2 3 4 2 5" xfId="5276"/>
    <cellStyle name="百分比 4 2 3 4 2 6" xfId="5277"/>
    <cellStyle name="百分比 4 2 3 4 3" xfId="5278"/>
    <cellStyle name="百分比 4 2 3 4 4" xfId="5279"/>
    <cellStyle name="百分比 4 2 3 4 5" xfId="5280"/>
    <cellStyle name="百分比 4 2 3 4 6" xfId="5281"/>
    <cellStyle name="百分比 4 2 3 4 7" xfId="5282"/>
    <cellStyle name="百分比 4 2 3 4 8" xfId="5283"/>
    <cellStyle name="百分比 4 2 3 5" xfId="5284"/>
    <cellStyle name="百分比 4 2 3 5 2" xfId="5285"/>
    <cellStyle name="百分比 4 2 3 5 2 2" xfId="5286"/>
    <cellStyle name="百分比 4 2 3 5 2 3" xfId="5287"/>
    <cellStyle name="百分比 4 2 3 5 2 4" xfId="5288"/>
    <cellStyle name="百分比 4 2 3 5 2 5" xfId="5289"/>
    <cellStyle name="百分比 4 2 3 5 2 6" xfId="5290"/>
    <cellStyle name="百分比 4 2 3 5 3" xfId="5291"/>
    <cellStyle name="百分比 4 2 3 5 4" xfId="5292"/>
    <cellStyle name="百分比 4 2 3 5 5" xfId="5293"/>
    <cellStyle name="百分比 4 2 3 5 6" xfId="5294"/>
    <cellStyle name="百分比 4 2 3 5 7" xfId="5295"/>
    <cellStyle name="百分比 4 2 3 5 8" xfId="5296"/>
    <cellStyle name="百分比 4 2 3 6" xfId="5297"/>
    <cellStyle name="百分比 4 2 3 6 2" xfId="5298"/>
    <cellStyle name="百分比 4 2 3 6 2 2" xfId="5299"/>
    <cellStyle name="百分比 4 2 3 6 2 3" xfId="5300"/>
    <cellStyle name="百分比 4 2 3 6 2 4" xfId="5301"/>
    <cellStyle name="百分比 4 2 3 6 2 5" xfId="5302"/>
    <cellStyle name="百分比 4 2 3 6 2 6" xfId="5303"/>
    <cellStyle name="百分比 4 2 3 6 3" xfId="5304"/>
    <cellStyle name="百分比 4 2 3 6 4" xfId="5305"/>
    <cellStyle name="百分比 4 2 3 6 5" xfId="5306"/>
    <cellStyle name="百分比 4 2 3 6 6" xfId="5307"/>
    <cellStyle name="百分比 4 2 3 6 7" xfId="5308"/>
    <cellStyle name="百分比 4 2 3 7" xfId="5309"/>
    <cellStyle name="百分比 4 2 3 7 2" xfId="5310"/>
    <cellStyle name="百分比 4 2 3 7 2 2" xfId="5311"/>
    <cellStyle name="百分比 4 2 3 7 2 3" xfId="5312"/>
    <cellStyle name="百分比 4 2 3 7 2 4" xfId="5313"/>
    <cellStyle name="百分比 4 2 3 7 2 5" xfId="5314"/>
    <cellStyle name="百分比 4 2 3 7 2 6" xfId="5315"/>
    <cellStyle name="百分比 4 2 3 7 3" xfId="5316"/>
    <cellStyle name="百分比 4 2 3 7 4" xfId="5317"/>
    <cellStyle name="百分比 4 2 3 7 5" xfId="5318"/>
    <cellStyle name="百分比 4 2 3 7 6" xfId="5319"/>
    <cellStyle name="百分比 4 2 3 7 7" xfId="5320"/>
    <cellStyle name="百分比 4 2 3 7 8" xfId="5321"/>
    <cellStyle name="百分比 4 2 3 8" xfId="5322"/>
    <cellStyle name="百分比 4 2 3 8 2" xfId="5323"/>
    <cellStyle name="百分比 4 2 3 8 2 2" xfId="5324"/>
    <cellStyle name="百分比 4 2 3 8 2 3" xfId="5325"/>
    <cellStyle name="百分比 4 2 3 8 2 4" xfId="5326"/>
    <cellStyle name="百分比 4 2 3 8 2 5" xfId="5327"/>
    <cellStyle name="百分比 4 2 3 8 2 6" xfId="5328"/>
    <cellStyle name="百分比 4 2 3 8 3" xfId="5329"/>
    <cellStyle name="百分比 4 2 3 8 4" xfId="5330"/>
    <cellStyle name="百分比 4 2 3 8 5" xfId="5331"/>
    <cellStyle name="百分比 4 2 3 8 6" xfId="5332"/>
    <cellStyle name="百分比 4 2 3 8 7" xfId="5333"/>
    <cellStyle name="百分比 4 2 3 9" xfId="5334"/>
    <cellStyle name="百分比 4 2 3 9 2" xfId="5335"/>
    <cellStyle name="百分比 4 2 3 9 2 2" xfId="5336"/>
    <cellStyle name="百分比 4 2 3 9 2 3" xfId="5337"/>
    <cellStyle name="百分比 4 2 3 9 2 4" xfId="5338"/>
    <cellStyle name="百分比 4 2 3 9 2 5" xfId="5339"/>
    <cellStyle name="百分比 4 2 3 9 2 6" xfId="5340"/>
    <cellStyle name="百分比 4 2 3 9 3" xfId="5341"/>
    <cellStyle name="百分比 4 2 3 9 4" xfId="5342"/>
    <cellStyle name="百分比 4 2 3 9 5" xfId="5343"/>
    <cellStyle name="百分比 4 2 3 9 6" xfId="5344"/>
    <cellStyle name="百分比 4 2 3 9 7" xfId="5345"/>
    <cellStyle name="百分比 4 2 4" xfId="5346"/>
    <cellStyle name="百分比 4 2 4 2" xfId="5347"/>
    <cellStyle name="百分比 4 2 4 2 2" xfId="5348"/>
    <cellStyle name="百分比 4 2 4 2 2 2" xfId="5349"/>
    <cellStyle name="百分比 4 2 4 2 2 3" xfId="5350"/>
    <cellStyle name="百分比 4 2 4 2 2 4" xfId="5351"/>
    <cellStyle name="百分比 4 2 4 2 2 5" xfId="5352"/>
    <cellStyle name="百分比 4 2 4 2 2 6" xfId="5353"/>
    <cellStyle name="百分比 4 2 4 2 2 7" xfId="5354"/>
    <cellStyle name="百分比 4 2 4 2 3" xfId="5355"/>
    <cellStyle name="百分比 4 2 4 2 3 2" xfId="5356"/>
    <cellStyle name="百分比 4 2 4 2 4" xfId="5357"/>
    <cellStyle name="百分比 4 2 4 2 5" xfId="5358"/>
    <cellStyle name="百分比 4 2 4 2 6" xfId="5359"/>
    <cellStyle name="百分比 4 2 4 2 7" xfId="5360"/>
    <cellStyle name="百分比 4 2 4 2 8" xfId="5361"/>
    <cellStyle name="百分比 4 2 4 3" xfId="5362"/>
    <cellStyle name="百分比 4 2 4 3 2" xfId="5363"/>
    <cellStyle name="百分比 4 2 4 3 2 2" xfId="5364"/>
    <cellStyle name="百分比 4 2 4 3 2 3" xfId="5365"/>
    <cellStyle name="百分比 4 2 4 3 2 4" xfId="5366"/>
    <cellStyle name="百分比 4 2 4 3 2 5" xfId="5367"/>
    <cellStyle name="百分比 4 2 4 3 2 6" xfId="5368"/>
    <cellStyle name="百分比 4 2 4 3 2 7" xfId="5369"/>
    <cellStyle name="百分比 4 2 4 3 3" xfId="5370"/>
    <cellStyle name="百分比 4 2 4 3 3 2" xfId="5371"/>
    <cellStyle name="百分比 4 2 4 3 4" xfId="5372"/>
    <cellStyle name="百分比 4 2 4 3 5" xfId="5373"/>
    <cellStyle name="百分比 4 2 4 3 6" xfId="5374"/>
    <cellStyle name="百分比 4 2 4 3 7" xfId="5375"/>
    <cellStyle name="百分比 4 2 4 3 8" xfId="5376"/>
    <cellStyle name="百分比 4 2 4 4" xfId="5377"/>
    <cellStyle name="百分比 4 2 4 4 2" xfId="5378"/>
    <cellStyle name="百分比 4 2 4 4 2 2" xfId="5379"/>
    <cellStyle name="百分比 4 2 4 4 2 3" xfId="5380"/>
    <cellStyle name="百分比 4 2 4 4 2 4" xfId="5381"/>
    <cellStyle name="百分比 4 2 4 4 2 5" xfId="5382"/>
    <cellStyle name="百分比 4 2 4 4 2 6" xfId="5383"/>
    <cellStyle name="百分比 4 2 4 4 3" xfId="5384"/>
    <cellStyle name="百分比 4 2 4 4 4" xfId="5385"/>
    <cellStyle name="百分比 4 2 4 4 5" xfId="5386"/>
    <cellStyle name="百分比 4 2 4 4 6" xfId="5387"/>
    <cellStyle name="百分比 4 2 4 4 7" xfId="5388"/>
    <cellStyle name="百分比 4 2 4 4 8" xfId="5389"/>
    <cellStyle name="百分比 4 2 4 5" xfId="5390"/>
    <cellStyle name="百分比 4 2 4 5 2" xfId="5391"/>
    <cellStyle name="百分比 4 2 4 5 2 2" xfId="5392"/>
    <cellStyle name="百分比 4 2 4 5 2 3" xfId="5393"/>
    <cellStyle name="百分比 4 2 4 5 2 4" xfId="5394"/>
    <cellStyle name="百分比 4 2 4 5 2 5" xfId="5395"/>
    <cellStyle name="百分比 4 2 4 5 2 6" xfId="5396"/>
    <cellStyle name="百分比 4 2 4 5 3" xfId="5397"/>
    <cellStyle name="百分比 4 2 4 5 4" xfId="5398"/>
    <cellStyle name="百分比 4 2 4 5 5" xfId="5399"/>
    <cellStyle name="百分比 4 2 4 5 6" xfId="5400"/>
    <cellStyle name="百分比 4 2 4 5 7" xfId="5401"/>
    <cellStyle name="百分比 4 2 4 5 8" xfId="5402"/>
    <cellStyle name="百分比 4 2 4 6" xfId="5403"/>
    <cellStyle name="百分比 4 2 4 6 2" xfId="5404"/>
    <cellStyle name="百分比 4 2 4 6 2 2" xfId="5405"/>
    <cellStyle name="百分比 4 2 4 6 2 3" xfId="5406"/>
    <cellStyle name="百分比 4 2 4 6 2 4" xfId="5407"/>
    <cellStyle name="百分比 4 2 4 6 2 5" xfId="5408"/>
    <cellStyle name="百分比 4 2 4 6 2 6" xfId="5409"/>
    <cellStyle name="百分比 4 2 4 6 3" xfId="5410"/>
    <cellStyle name="百分比 4 2 4 6 4" xfId="5411"/>
    <cellStyle name="百分比 4 2 4 6 5" xfId="5412"/>
    <cellStyle name="百分比 4 2 4 6 6" xfId="5413"/>
    <cellStyle name="百分比 4 2 4 6 7" xfId="5414"/>
    <cellStyle name="百分比 4 2 4 7" xfId="5415"/>
    <cellStyle name="百分比 4 2 4 7 2" xfId="5416"/>
    <cellStyle name="百分比 4 2 4 7 2 2" xfId="5417"/>
    <cellStyle name="百分比 4 2 4 7 2 3" xfId="5418"/>
    <cellStyle name="百分比 4 2 4 7 2 4" xfId="5419"/>
    <cellStyle name="百分比 4 2 4 7 2 5" xfId="5420"/>
    <cellStyle name="百分比 4 2 4 7 2 6" xfId="5421"/>
    <cellStyle name="百分比 4 2 4 7 3" xfId="5422"/>
    <cellStyle name="百分比 4 2 4 7 4" xfId="5423"/>
    <cellStyle name="百分比 4 2 4 7 5" xfId="5424"/>
    <cellStyle name="百分比 4 2 4 7 6" xfId="5425"/>
    <cellStyle name="百分比 4 2 4 7 7" xfId="5426"/>
    <cellStyle name="百分比 4 2 4 7 8" xfId="5427"/>
    <cellStyle name="百分比 4 2 4 8" xfId="5428"/>
    <cellStyle name="百分比 4 2 4 8 2" xfId="5429"/>
    <cellStyle name="百分比 4 2 4 8 2 2" xfId="5430"/>
    <cellStyle name="百分比 4 2 4 8 2 3" xfId="5431"/>
    <cellStyle name="百分比 4 2 4 8 2 4" xfId="5432"/>
    <cellStyle name="百分比 4 2 4 8 2 5" xfId="5433"/>
    <cellStyle name="百分比 4 2 4 8 2 6" xfId="5434"/>
    <cellStyle name="百分比 4 2 4 8 3" xfId="5435"/>
    <cellStyle name="百分比 4 2 4 8 4" xfId="5436"/>
    <cellStyle name="百分比 4 2 4 8 5" xfId="5437"/>
    <cellStyle name="百分比 4 2 4 8 6" xfId="5438"/>
    <cellStyle name="百分比 4 2 4 8 7" xfId="5439"/>
    <cellStyle name="百分比 4 2 4 9" xfId="5440"/>
    <cellStyle name="百分比 4 2 4 9 2" xfId="5441"/>
    <cellStyle name="百分比 4 2 4 9 2 2" xfId="5442"/>
    <cellStyle name="百分比 4 2 4 9 2 3" xfId="5443"/>
    <cellStyle name="百分比 4 2 4 9 2 4" xfId="5444"/>
    <cellStyle name="百分比 4 2 4 9 2 5" xfId="5445"/>
    <cellStyle name="百分比 4 2 4 9 2 6" xfId="5446"/>
    <cellStyle name="百分比 4 2 4 9 3" xfId="5447"/>
    <cellStyle name="百分比 4 2 4 9 4" xfId="5448"/>
    <cellStyle name="百分比 4 2 4 9 5" xfId="5449"/>
    <cellStyle name="百分比 4 2 4 9 6" xfId="5450"/>
    <cellStyle name="百分比 4 2 4 9 7" xfId="5451"/>
    <cellStyle name="百分比 4 2 5" xfId="5452"/>
    <cellStyle name="百分比 4 2 5 2" xfId="5453"/>
    <cellStyle name="百分比 4 2 5 2 2" xfId="5454"/>
    <cellStyle name="百分比 4 2 5 2 2 2" xfId="5455"/>
    <cellStyle name="百分比 4 2 5 2 2 3" xfId="5456"/>
    <cellStyle name="百分比 4 2 5 2 2 4" xfId="5457"/>
    <cellStyle name="百分比 4 2 5 2 2 5" xfId="5458"/>
    <cellStyle name="百分比 4 2 5 2 2 6" xfId="5459"/>
    <cellStyle name="百分比 4 2 5 2 3" xfId="5460"/>
    <cellStyle name="百分比 4 2 5 2 4" xfId="5461"/>
    <cellStyle name="百分比 4 2 5 2 5" xfId="5462"/>
    <cellStyle name="百分比 4 2 5 2 6" xfId="5463"/>
    <cellStyle name="百分比 4 2 5 2 7" xfId="5464"/>
    <cellStyle name="百分比 4 2 5 2 8" xfId="5465"/>
    <cellStyle name="百分比 4 2 5 3" xfId="5466"/>
    <cellStyle name="百分比 4 2 5 3 2" xfId="5467"/>
    <cellStyle name="百分比 4 2 5 3 2 2" xfId="5468"/>
    <cellStyle name="百分比 4 2 5 3 2 3" xfId="5469"/>
    <cellStyle name="百分比 4 2 5 3 2 4" xfId="5470"/>
    <cellStyle name="百分比 4 2 5 3 2 5" xfId="5471"/>
    <cellStyle name="百分比 4 2 5 3 2 6" xfId="5472"/>
    <cellStyle name="百分比 4 2 5 3 3" xfId="5473"/>
    <cellStyle name="百分比 4 2 5 3 4" xfId="5474"/>
    <cellStyle name="百分比 4 2 5 3 5" xfId="5475"/>
    <cellStyle name="百分比 4 2 5 3 6" xfId="5476"/>
    <cellStyle name="百分比 4 2 5 3 7" xfId="5477"/>
    <cellStyle name="百分比 4 2 5 3 8" xfId="5478"/>
    <cellStyle name="百分比 4 2 5 4" xfId="5479"/>
    <cellStyle name="百分比 4 2 5 4 2" xfId="5480"/>
    <cellStyle name="百分比 4 2 5 4 2 2" xfId="5481"/>
    <cellStyle name="百分比 4 2 5 4 2 3" xfId="5482"/>
    <cellStyle name="百分比 4 2 5 4 2 4" xfId="5483"/>
    <cellStyle name="百分比 4 2 5 4 2 5" xfId="5484"/>
    <cellStyle name="百分比 4 2 5 4 2 6" xfId="5485"/>
    <cellStyle name="百分比 4 2 5 4 3" xfId="5486"/>
    <cellStyle name="百分比 4 2 5 4 4" xfId="5487"/>
    <cellStyle name="百分比 4 2 5 4 5" xfId="5488"/>
    <cellStyle name="百分比 4 2 5 4 6" xfId="5489"/>
    <cellStyle name="百分比 4 2 5 4 7" xfId="5490"/>
    <cellStyle name="百分比 4 2 5 5" xfId="5491"/>
    <cellStyle name="百分比 4 2 5 5 2" xfId="5492"/>
    <cellStyle name="百分比 4 2 5 5 2 2" xfId="5493"/>
    <cellStyle name="百分比 4 2 5 5 2 3" xfId="5494"/>
    <cellStyle name="百分比 4 2 5 5 2 4" xfId="5495"/>
    <cellStyle name="百分比 4 2 5 5 2 5" xfId="5496"/>
    <cellStyle name="百分比 4 2 5 5 2 6" xfId="5497"/>
    <cellStyle name="百分比 4 2 5 5 3" xfId="5498"/>
    <cellStyle name="百分比 4 2 5 5 4" xfId="5499"/>
    <cellStyle name="百分比 4 2 5 5 5" xfId="5500"/>
    <cellStyle name="百分比 4 2 5 5 6" xfId="5501"/>
    <cellStyle name="百分比 4 2 5 5 7" xfId="5502"/>
    <cellStyle name="百分比 4 2 5 6" xfId="5503"/>
    <cellStyle name="百分比 4 2 5 6 2" xfId="5504"/>
    <cellStyle name="百分比 4 2 5 6 2 2" xfId="5505"/>
    <cellStyle name="百分比 4 2 5 6 2 3" xfId="5506"/>
    <cellStyle name="百分比 4 2 5 6 2 4" xfId="5507"/>
    <cellStyle name="百分比 4 2 5 6 2 5" xfId="5508"/>
    <cellStyle name="百分比 4 2 5 6 2 6" xfId="5509"/>
    <cellStyle name="百分比 4 2 5 6 3" xfId="5510"/>
    <cellStyle name="百分比 4 2 5 6 4" xfId="5511"/>
    <cellStyle name="百分比 4 2 5 6 5" xfId="5512"/>
    <cellStyle name="百分比 4 2 5 6 6" xfId="5513"/>
    <cellStyle name="百分比 4 2 5 6 7" xfId="5514"/>
    <cellStyle name="百分比 4 2 5 7" xfId="5515"/>
    <cellStyle name="百分比 4 2 5 7 2" xfId="5516"/>
    <cellStyle name="百分比 4 2 5 7 2 2" xfId="5517"/>
    <cellStyle name="百分比 4 2 5 7 2 3" xfId="5518"/>
    <cellStyle name="百分比 4 2 5 7 2 4" xfId="5519"/>
    <cellStyle name="百分比 4 2 5 7 2 5" xfId="5520"/>
    <cellStyle name="百分比 4 2 5 7 2 6" xfId="5521"/>
    <cellStyle name="百分比 4 2 5 7 3" xfId="5522"/>
    <cellStyle name="百分比 4 2 5 7 4" xfId="5523"/>
    <cellStyle name="百分比 4 2 5 7 5" xfId="5524"/>
    <cellStyle name="百分比 4 2 5 7 6" xfId="5525"/>
    <cellStyle name="百分比 4 2 5 7 7" xfId="5526"/>
    <cellStyle name="百分比 4 2 5 8" xfId="5527"/>
    <cellStyle name="百分比 4 2 5 8 2" xfId="5528"/>
    <cellStyle name="百分比 4 2 5 8 2 2" xfId="5529"/>
    <cellStyle name="百分比 4 2 5 8 2 3" xfId="5530"/>
    <cellStyle name="百分比 4 2 5 8 2 4" xfId="5531"/>
    <cellStyle name="百分比 4 2 5 8 2 5" xfId="5532"/>
    <cellStyle name="百分比 4 2 5 8 2 6" xfId="5533"/>
    <cellStyle name="百分比 4 2 5 8 3" xfId="5534"/>
    <cellStyle name="百分比 4 2 5 8 4" xfId="5535"/>
    <cellStyle name="百分比 4 2 5 8 5" xfId="5536"/>
    <cellStyle name="百分比 4 2 5 8 6" xfId="5537"/>
    <cellStyle name="百分比 4 2 5 8 7" xfId="5538"/>
    <cellStyle name="百分比 4 2 5 9" xfId="5539"/>
    <cellStyle name="百分比 4 2 5 9 2" xfId="5540"/>
    <cellStyle name="百分比 4 2 5 9 2 2" xfId="5541"/>
    <cellStyle name="百分比 4 2 5 9 2 3" xfId="5542"/>
    <cellStyle name="百分比 4 2 5 9 2 4" xfId="5543"/>
    <cellStyle name="百分比 4 2 5 9 2 5" xfId="5544"/>
    <cellStyle name="百分比 4 2 5 9 2 6" xfId="5545"/>
    <cellStyle name="百分比 4 2 5 9 3" xfId="5546"/>
    <cellStyle name="百分比 4 2 5 9 4" xfId="5547"/>
    <cellStyle name="百分比 4 2 5 9 5" xfId="5548"/>
    <cellStyle name="百分比 4 2 5 9 6" xfId="5549"/>
    <cellStyle name="百分比 4 2 5 9 7" xfId="5550"/>
    <cellStyle name="百分比 4 2 6" xfId="5551"/>
    <cellStyle name="百分比 4 2 6 10" xfId="5552"/>
    <cellStyle name="百分比 4 2 6 11" xfId="5553"/>
    <cellStyle name="百分比 4 2 6 12" xfId="5554"/>
    <cellStyle name="百分比 4 2 6 13" xfId="5555"/>
    <cellStyle name="百分比 4 2 6 14" xfId="5556"/>
    <cellStyle name="百分比 4 2 6 15" xfId="5557"/>
    <cellStyle name="百分比 4 2 6 2" xfId="5558"/>
    <cellStyle name="百分比 4 2 6 2 2" xfId="5559"/>
    <cellStyle name="百分比 4 2 6 2 2 2" xfId="5560"/>
    <cellStyle name="百分比 4 2 6 2 2 3" xfId="5561"/>
    <cellStyle name="百分比 4 2 6 2 2 4" xfId="5562"/>
    <cellStyle name="百分比 4 2 6 2 2 5" xfId="5563"/>
    <cellStyle name="百分比 4 2 6 2 2 6" xfId="5564"/>
    <cellStyle name="百分比 4 2 6 2 3" xfId="5565"/>
    <cellStyle name="百分比 4 2 6 2 4" xfId="5566"/>
    <cellStyle name="百分比 4 2 6 2 5" xfId="5567"/>
    <cellStyle name="百分比 4 2 6 2 6" xfId="5568"/>
    <cellStyle name="百分比 4 2 6 2 7" xfId="5569"/>
    <cellStyle name="百分比 4 2 6 2 8" xfId="5570"/>
    <cellStyle name="百分比 4 2 6 3" xfId="5571"/>
    <cellStyle name="百分比 4 2 6 3 2" xfId="5572"/>
    <cellStyle name="百分比 4 2 6 3 2 2" xfId="5573"/>
    <cellStyle name="百分比 4 2 6 3 2 3" xfId="5574"/>
    <cellStyle name="百分比 4 2 6 3 2 4" xfId="5575"/>
    <cellStyle name="百分比 4 2 6 3 2 5" xfId="5576"/>
    <cellStyle name="百分比 4 2 6 3 2 6" xfId="5577"/>
    <cellStyle name="百分比 4 2 6 3 3" xfId="5578"/>
    <cellStyle name="百分比 4 2 6 3 4" xfId="5579"/>
    <cellStyle name="百分比 4 2 6 3 5" xfId="5580"/>
    <cellStyle name="百分比 4 2 6 3 6" xfId="5581"/>
    <cellStyle name="百分比 4 2 6 3 7" xfId="5582"/>
    <cellStyle name="百分比 4 2 6 3 8" xfId="5583"/>
    <cellStyle name="百分比 4 2 6 4" xfId="5584"/>
    <cellStyle name="百分比 4 2 6 4 2" xfId="5585"/>
    <cellStyle name="百分比 4 2 6 4 2 2" xfId="5586"/>
    <cellStyle name="百分比 4 2 6 4 2 3" xfId="5587"/>
    <cellStyle name="百分比 4 2 6 4 2 4" xfId="5588"/>
    <cellStyle name="百分比 4 2 6 4 2 5" xfId="5589"/>
    <cellStyle name="百分比 4 2 6 4 2 6" xfId="5590"/>
    <cellStyle name="百分比 4 2 6 4 3" xfId="5591"/>
    <cellStyle name="百分比 4 2 6 4 4" xfId="5592"/>
    <cellStyle name="百分比 4 2 6 4 5" xfId="5593"/>
    <cellStyle name="百分比 4 2 6 4 6" xfId="5594"/>
    <cellStyle name="百分比 4 2 6 4 7" xfId="5595"/>
    <cellStyle name="百分比 4 2 6 5" xfId="5596"/>
    <cellStyle name="百分比 4 2 6 5 2" xfId="5597"/>
    <cellStyle name="百分比 4 2 6 5 2 2" xfId="5598"/>
    <cellStyle name="百分比 4 2 6 5 2 3" xfId="5599"/>
    <cellStyle name="百分比 4 2 6 5 2 4" xfId="5600"/>
    <cellStyle name="百分比 4 2 6 5 2 5" xfId="5601"/>
    <cellStyle name="百分比 4 2 6 5 2 6" xfId="5602"/>
    <cellStyle name="百分比 4 2 6 5 3" xfId="5603"/>
    <cellStyle name="百分比 4 2 6 5 4" xfId="5604"/>
    <cellStyle name="百分比 4 2 6 5 5" xfId="5605"/>
    <cellStyle name="百分比 4 2 6 5 6" xfId="5606"/>
    <cellStyle name="百分比 4 2 6 5 7" xfId="5607"/>
    <cellStyle name="百分比 4 2 6 6" xfId="5608"/>
    <cellStyle name="百分比 4 2 6 6 2" xfId="5609"/>
    <cellStyle name="百分比 4 2 6 6 2 2" xfId="5610"/>
    <cellStyle name="百分比 4 2 6 6 2 3" xfId="5611"/>
    <cellStyle name="百分比 4 2 6 6 2 4" xfId="5612"/>
    <cellStyle name="百分比 4 2 6 6 2 5" xfId="5613"/>
    <cellStyle name="百分比 4 2 6 6 2 6" xfId="5614"/>
    <cellStyle name="百分比 4 2 6 6 3" xfId="5615"/>
    <cellStyle name="百分比 4 2 6 6 4" xfId="5616"/>
    <cellStyle name="百分比 4 2 6 6 5" xfId="5617"/>
    <cellStyle name="百分比 4 2 6 6 6" xfId="5618"/>
    <cellStyle name="百分比 4 2 6 6 7" xfId="5619"/>
    <cellStyle name="百分比 4 2 6 7" xfId="5620"/>
    <cellStyle name="百分比 4 2 6 7 2" xfId="5621"/>
    <cellStyle name="百分比 4 2 6 7 2 2" xfId="5622"/>
    <cellStyle name="百分比 4 2 6 7 2 3" xfId="5623"/>
    <cellStyle name="百分比 4 2 6 7 2 4" xfId="5624"/>
    <cellStyle name="百分比 4 2 6 7 2 5" xfId="5625"/>
    <cellStyle name="百分比 4 2 6 7 2 6" xfId="5626"/>
    <cellStyle name="百分比 4 2 6 7 3" xfId="5627"/>
    <cellStyle name="百分比 4 2 6 7 4" xfId="5628"/>
    <cellStyle name="百分比 4 2 6 7 5" xfId="5629"/>
    <cellStyle name="百分比 4 2 6 7 6" xfId="5630"/>
    <cellStyle name="百分比 4 2 6 7 7" xfId="5631"/>
    <cellStyle name="百分比 4 2 6 8" xfId="5632"/>
    <cellStyle name="百分比 4 2 6 8 2" xfId="5633"/>
    <cellStyle name="百分比 4 2 6 8 2 2" xfId="5634"/>
    <cellStyle name="百分比 4 2 6 8 2 3" xfId="5635"/>
    <cellStyle name="百分比 4 2 6 8 2 4" xfId="5636"/>
    <cellStyle name="百分比 4 2 6 8 2 5" xfId="5637"/>
    <cellStyle name="百分比 4 2 6 8 2 6" xfId="5638"/>
    <cellStyle name="百分比 4 2 6 8 3" xfId="5639"/>
    <cellStyle name="百分比 4 2 6 8 4" xfId="5640"/>
    <cellStyle name="百分比 4 2 6 8 5" xfId="5641"/>
    <cellStyle name="百分比 4 2 6 8 6" xfId="5642"/>
    <cellStyle name="百分比 4 2 6 8 7" xfId="5643"/>
    <cellStyle name="百分比 4 2 6 9" xfId="5644"/>
    <cellStyle name="百分比 4 2 6 9 2" xfId="5645"/>
    <cellStyle name="百分比 4 2 6 9 3" xfId="5646"/>
    <cellStyle name="百分比 4 2 6 9 4" xfId="5647"/>
    <cellStyle name="百分比 4 2 6 9 5" xfId="5648"/>
    <cellStyle name="百分比 4 2 6 9 6" xfId="5649"/>
    <cellStyle name="百分比 4 2 7" xfId="5650"/>
    <cellStyle name="百分比 4 2 7 10" xfId="5651"/>
    <cellStyle name="百分比 4 2 7 11" xfId="5652"/>
    <cellStyle name="百分比 4 2 7 12" xfId="5653"/>
    <cellStyle name="百分比 4 2 7 13" xfId="5654"/>
    <cellStyle name="百分比 4 2 7 14" xfId="5655"/>
    <cellStyle name="百分比 4 2 7 2" xfId="5656"/>
    <cellStyle name="百分比 4 2 7 2 2" xfId="5657"/>
    <cellStyle name="百分比 4 2 7 2 2 2" xfId="5658"/>
    <cellStyle name="百分比 4 2 7 2 2 3" xfId="5659"/>
    <cellStyle name="百分比 4 2 7 2 2 4" xfId="5660"/>
    <cellStyle name="百分比 4 2 7 2 2 5" xfId="5661"/>
    <cellStyle name="百分比 4 2 7 2 2 6" xfId="5662"/>
    <cellStyle name="百分比 4 2 7 2 3" xfId="5663"/>
    <cellStyle name="百分比 4 2 7 2 4" xfId="5664"/>
    <cellStyle name="百分比 4 2 7 2 5" xfId="5665"/>
    <cellStyle name="百分比 4 2 7 2 6" xfId="5666"/>
    <cellStyle name="百分比 4 2 7 2 7" xfId="5667"/>
    <cellStyle name="百分比 4 2 7 3" xfId="5668"/>
    <cellStyle name="百分比 4 2 7 3 2" xfId="5669"/>
    <cellStyle name="百分比 4 2 7 3 2 2" xfId="5670"/>
    <cellStyle name="百分比 4 2 7 3 2 3" xfId="5671"/>
    <cellStyle name="百分比 4 2 7 3 2 4" xfId="5672"/>
    <cellStyle name="百分比 4 2 7 3 2 5" xfId="5673"/>
    <cellStyle name="百分比 4 2 7 3 2 6" xfId="5674"/>
    <cellStyle name="百分比 4 2 7 3 3" xfId="5675"/>
    <cellStyle name="百分比 4 2 7 3 4" xfId="5676"/>
    <cellStyle name="百分比 4 2 7 3 5" xfId="5677"/>
    <cellStyle name="百分比 4 2 7 3 6" xfId="5678"/>
    <cellStyle name="百分比 4 2 7 3 7" xfId="5679"/>
    <cellStyle name="百分比 4 2 7 4" xfId="5680"/>
    <cellStyle name="百分比 4 2 7 4 2" xfId="5681"/>
    <cellStyle name="百分比 4 2 7 4 2 2" xfId="5682"/>
    <cellStyle name="百分比 4 2 7 4 2 3" xfId="5683"/>
    <cellStyle name="百分比 4 2 7 4 2 4" xfId="5684"/>
    <cellStyle name="百分比 4 2 7 4 2 5" xfId="5685"/>
    <cellStyle name="百分比 4 2 7 4 2 6" xfId="5686"/>
    <cellStyle name="百分比 4 2 7 4 3" xfId="5687"/>
    <cellStyle name="百分比 4 2 7 4 4" xfId="5688"/>
    <cellStyle name="百分比 4 2 7 4 5" xfId="5689"/>
    <cellStyle name="百分比 4 2 7 4 6" xfId="5690"/>
    <cellStyle name="百分比 4 2 7 4 7" xfId="5691"/>
    <cellStyle name="百分比 4 2 7 5" xfId="5692"/>
    <cellStyle name="百分比 4 2 7 5 2" xfId="5693"/>
    <cellStyle name="百分比 4 2 7 5 2 2" xfId="5694"/>
    <cellStyle name="百分比 4 2 7 5 2 3" xfId="5695"/>
    <cellStyle name="百分比 4 2 7 5 2 4" xfId="5696"/>
    <cellStyle name="百分比 4 2 7 5 2 5" xfId="5697"/>
    <cellStyle name="百分比 4 2 7 5 2 6" xfId="5698"/>
    <cellStyle name="百分比 4 2 7 5 3" xfId="5699"/>
    <cellStyle name="百分比 4 2 7 5 4" xfId="5700"/>
    <cellStyle name="百分比 4 2 7 5 5" xfId="5701"/>
    <cellStyle name="百分比 4 2 7 5 6" xfId="5702"/>
    <cellStyle name="百分比 4 2 7 5 7" xfId="5703"/>
    <cellStyle name="百分比 4 2 7 6" xfId="5704"/>
    <cellStyle name="百分比 4 2 7 6 2" xfId="5705"/>
    <cellStyle name="百分比 4 2 7 6 2 2" xfId="5706"/>
    <cellStyle name="百分比 4 2 7 6 2 3" xfId="5707"/>
    <cellStyle name="百分比 4 2 7 6 2 4" xfId="5708"/>
    <cellStyle name="百分比 4 2 7 6 2 5" xfId="5709"/>
    <cellStyle name="百分比 4 2 7 6 2 6" xfId="5710"/>
    <cellStyle name="百分比 4 2 7 6 3" xfId="5711"/>
    <cellStyle name="百分比 4 2 7 6 4" xfId="5712"/>
    <cellStyle name="百分比 4 2 7 6 5" xfId="5713"/>
    <cellStyle name="百分比 4 2 7 6 6" xfId="5714"/>
    <cellStyle name="百分比 4 2 7 6 7" xfId="5715"/>
    <cellStyle name="百分比 4 2 7 7" xfId="5716"/>
    <cellStyle name="百分比 4 2 7 7 2" xfId="5717"/>
    <cellStyle name="百分比 4 2 7 7 2 2" xfId="5718"/>
    <cellStyle name="百分比 4 2 7 7 2 3" xfId="5719"/>
    <cellStyle name="百分比 4 2 7 7 2 4" xfId="5720"/>
    <cellStyle name="百分比 4 2 7 7 2 5" xfId="5721"/>
    <cellStyle name="百分比 4 2 7 7 2 6" xfId="5722"/>
    <cellStyle name="百分比 4 2 7 7 3" xfId="5723"/>
    <cellStyle name="百分比 4 2 7 7 4" xfId="5724"/>
    <cellStyle name="百分比 4 2 7 7 5" xfId="5725"/>
    <cellStyle name="百分比 4 2 7 7 6" xfId="5726"/>
    <cellStyle name="百分比 4 2 7 7 7" xfId="5727"/>
    <cellStyle name="百分比 4 2 7 8" xfId="5728"/>
    <cellStyle name="百分比 4 2 7 8 2" xfId="5729"/>
    <cellStyle name="百分比 4 2 7 8 3" xfId="5730"/>
    <cellStyle name="百分比 4 2 7 8 4" xfId="5731"/>
    <cellStyle name="百分比 4 2 7 8 5" xfId="5732"/>
    <cellStyle name="百分比 4 2 7 8 6" xfId="5733"/>
    <cellStyle name="百分比 4 2 7 9" xfId="5734"/>
    <cellStyle name="百分比 4 2 8" xfId="5735"/>
    <cellStyle name="百分比 4 2 8 10" xfId="5736"/>
    <cellStyle name="百分比 4 2 8 11" xfId="5737"/>
    <cellStyle name="百分比 4 2 8 12" xfId="5738"/>
    <cellStyle name="百分比 4 2 8 13" xfId="5739"/>
    <cellStyle name="百分比 4 2 8 2" xfId="5740"/>
    <cellStyle name="百分比 4 2 8 2 2" xfId="5741"/>
    <cellStyle name="百分比 4 2 8 2 2 2" xfId="5742"/>
    <cellStyle name="百分比 4 2 8 2 2 3" xfId="5743"/>
    <cellStyle name="百分比 4 2 8 2 2 4" xfId="5744"/>
    <cellStyle name="百分比 4 2 8 2 2 5" xfId="5745"/>
    <cellStyle name="百分比 4 2 8 2 2 6" xfId="5746"/>
    <cellStyle name="百分比 4 2 8 2 3" xfId="5747"/>
    <cellStyle name="百分比 4 2 8 2 4" xfId="5748"/>
    <cellStyle name="百分比 4 2 8 2 5" xfId="5749"/>
    <cellStyle name="百分比 4 2 8 2 6" xfId="5750"/>
    <cellStyle name="百分比 4 2 8 2 7" xfId="5751"/>
    <cellStyle name="百分比 4 2 8 3" xfId="5752"/>
    <cellStyle name="百分比 4 2 8 3 2" xfId="5753"/>
    <cellStyle name="百分比 4 2 8 3 2 2" xfId="5754"/>
    <cellStyle name="百分比 4 2 8 3 2 3" xfId="5755"/>
    <cellStyle name="百分比 4 2 8 3 2 4" xfId="5756"/>
    <cellStyle name="百分比 4 2 8 3 2 5" xfId="5757"/>
    <cellStyle name="百分比 4 2 8 3 2 6" xfId="5758"/>
    <cellStyle name="百分比 4 2 8 3 3" xfId="5759"/>
    <cellStyle name="百分比 4 2 8 3 4" xfId="5760"/>
    <cellStyle name="百分比 4 2 8 3 5" xfId="5761"/>
    <cellStyle name="百分比 4 2 8 3 6" xfId="5762"/>
    <cellStyle name="百分比 4 2 8 3 7" xfId="5763"/>
    <cellStyle name="百分比 4 2 8 4" xfId="5764"/>
    <cellStyle name="百分比 4 2 8 4 2" xfId="5765"/>
    <cellStyle name="百分比 4 2 8 4 2 2" xfId="5766"/>
    <cellStyle name="百分比 4 2 8 4 2 3" xfId="5767"/>
    <cellStyle name="百分比 4 2 8 4 2 4" xfId="5768"/>
    <cellStyle name="百分比 4 2 8 4 2 5" xfId="5769"/>
    <cellStyle name="百分比 4 2 8 4 2 6" xfId="5770"/>
    <cellStyle name="百分比 4 2 8 4 3" xfId="5771"/>
    <cellStyle name="百分比 4 2 8 4 4" xfId="5772"/>
    <cellStyle name="百分比 4 2 8 4 5" xfId="5773"/>
    <cellStyle name="百分比 4 2 8 4 6" xfId="5774"/>
    <cellStyle name="百分比 4 2 8 4 7" xfId="5775"/>
    <cellStyle name="百分比 4 2 8 5" xfId="5776"/>
    <cellStyle name="百分比 4 2 8 5 2" xfId="5777"/>
    <cellStyle name="百分比 4 2 8 5 2 2" xfId="5778"/>
    <cellStyle name="百分比 4 2 8 5 2 3" xfId="5779"/>
    <cellStyle name="百分比 4 2 8 5 2 4" xfId="5780"/>
    <cellStyle name="百分比 4 2 8 5 2 5" xfId="5781"/>
    <cellStyle name="百分比 4 2 8 5 2 6" xfId="5782"/>
    <cellStyle name="百分比 4 2 8 5 3" xfId="5783"/>
    <cellStyle name="百分比 4 2 8 5 4" xfId="5784"/>
    <cellStyle name="百分比 4 2 8 5 5" xfId="5785"/>
    <cellStyle name="百分比 4 2 8 5 6" xfId="5786"/>
    <cellStyle name="百分比 4 2 8 5 7" xfId="5787"/>
    <cellStyle name="百分比 4 2 8 6" xfId="5788"/>
    <cellStyle name="百分比 4 2 8 6 2" xfId="5789"/>
    <cellStyle name="百分比 4 2 8 6 2 2" xfId="5790"/>
    <cellStyle name="百分比 4 2 8 6 2 3" xfId="5791"/>
    <cellStyle name="百分比 4 2 8 6 2 4" xfId="5792"/>
    <cellStyle name="百分比 4 2 8 6 2 5" xfId="5793"/>
    <cellStyle name="百分比 4 2 8 6 2 6" xfId="5794"/>
    <cellStyle name="百分比 4 2 8 6 3" xfId="5795"/>
    <cellStyle name="百分比 4 2 8 6 4" xfId="5796"/>
    <cellStyle name="百分比 4 2 8 6 5" xfId="5797"/>
    <cellStyle name="百分比 4 2 8 6 6" xfId="5798"/>
    <cellStyle name="百分比 4 2 8 6 7" xfId="5799"/>
    <cellStyle name="百分比 4 2 8 7" xfId="5800"/>
    <cellStyle name="百分比 4 2 8 7 2" xfId="5801"/>
    <cellStyle name="百分比 4 2 8 7 3" xfId="5802"/>
    <cellStyle name="百分比 4 2 8 7 4" xfId="5803"/>
    <cellStyle name="百分比 4 2 8 7 5" xfId="5804"/>
    <cellStyle name="百分比 4 2 8 7 6" xfId="5805"/>
    <cellStyle name="百分比 4 2 8 8" xfId="5806"/>
    <cellStyle name="百分比 4 2 8 9" xfId="5807"/>
    <cellStyle name="百分比 4 2 9" xfId="5808"/>
    <cellStyle name="百分比 4 2 9 10" xfId="5809"/>
    <cellStyle name="百分比 4 2 9 11" xfId="5810"/>
    <cellStyle name="百分比 4 2 9 2" xfId="5811"/>
    <cellStyle name="百分比 4 2 9 2 2" xfId="5812"/>
    <cellStyle name="百分比 4 2 9 2 2 2" xfId="5813"/>
    <cellStyle name="百分比 4 2 9 2 2 3" xfId="5814"/>
    <cellStyle name="百分比 4 2 9 2 2 4" xfId="5815"/>
    <cellStyle name="百分比 4 2 9 2 2 5" xfId="5816"/>
    <cellStyle name="百分比 4 2 9 2 2 6" xfId="5817"/>
    <cellStyle name="百分比 4 2 9 2 3" xfId="5818"/>
    <cellStyle name="百分比 4 2 9 2 4" xfId="5819"/>
    <cellStyle name="百分比 4 2 9 2 5" xfId="5820"/>
    <cellStyle name="百分比 4 2 9 2 6" xfId="5821"/>
    <cellStyle name="百分比 4 2 9 2 7" xfId="5822"/>
    <cellStyle name="百分比 4 2 9 3" xfId="5823"/>
    <cellStyle name="百分比 4 2 9 3 2" xfId="5824"/>
    <cellStyle name="百分比 4 2 9 3 2 2" xfId="5825"/>
    <cellStyle name="百分比 4 2 9 3 2 3" xfId="5826"/>
    <cellStyle name="百分比 4 2 9 3 2 4" xfId="5827"/>
    <cellStyle name="百分比 4 2 9 3 2 5" xfId="5828"/>
    <cellStyle name="百分比 4 2 9 3 2 6" xfId="5829"/>
    <cellStyle name="百分比 4 2 9 3 3" xfId="5830"/>
    <cellStyle name="百分比 4 2 9 3 4" xfId="5831"/>
    <cellStyle name="百分比 4 2 9 3 5" xfId="5832"/>
    <cellStyle name="百分比 4 2 9 3 6" xfId="5833"/>
    <cellStyle name="百分比 4 2 9 3 7" xfId="5834"/>
    <cellStyle name="百分比 4 2 9 4" xfId="5835"/>
    <cellStyle name="百分比 4 2 9 4 2" xfId="5836"/>
    <cellStyle name="百分比 4 2 9 4 2 2" xfId="5837"/>
    <cellStyle name="百分比 4 2 9 4 2 3" xfId="5838"/>
    <cellStyle name="百分比 4 2 9 4 2 4" xfId="5839"/>
    <cellStyle name="百分比 4 2 9 4 2 5" xfId="5840"/>
    <cellStyle name="百分比 4 2 9 4 2 6" xfId="5841"/>
    <cellStyle name="百分比 4 2 9 4 3" xfId="5842"/>
    <cellStyle name="百分比 4 2 9 4 4" xfId="5843"/>
    <cellStyle name="百分比 4 2 9 4 5" xfId="5844"/>
    <cellStyle name="百分比 4 2 9 4 6" xfId="5845"/>
    <cellStyle name="百分比 4 2 9 4 7" xfId="5846"/>
    <cellStyle name="百分比 4 2 9 5" xfId="5847"/>
    <cellStyle name="百分比 4 2 9 5 2" xfId="5848"/>
    <cellStyle name="百分比 4 2 9 5 2 2" xfId="5849"/>
    <cellStyle name="百分比 4 2 9 5 2 3" xfId="5850"/>
    <cellStyle name="百分比 4 2 9 5 2 4" xfId="5851"/>
    <cellStyle name="百分比 4 2 9 5 2 5" xfId="5852"/>
    <cellStyle name="百分比 4 2 9 5 2 6" xfId="5853"/>
    <cellStyle name="百分比 4 2 9 5 3" xfId="5854"/>
    <cellStyle name="百分比 4 2 9 5 4" xfId="5855"/>
    <cellStyle name="百分比 4 2 9 5 5" xfId="5856"/>
    <cellStyle name="百分比 4 2 9 5 6" xfId="5857"/>
    <cellStyle name="百分比 4 2 9 5 7" xfId="5858"/>
    <cellStyle name="百分比 4 2 9 6" xfId="5859"/>
    <cellStyle name="百分比 4 2 9 6 2" xfId="5860"/>
    <cellStyle name="百分比 4 2 9 6 3" xfId="5861"/>
    <cellStyle name="百分比 4 2 9 6 4" xfId="5862"/>
    <cellStyle name="百分比 4 2 9 6 5" xfId="5863"/>
    <cellStyle name="百分比 4 2 9 6 6" xfId="5864"/>
    <cellStyle name="百分比 4 2 9 7" xfId="5865"/>
    <cellStyle name="百分比 4 2 9 8" xfId="5866"/>
    <cellStyle name="百分比 4 2 9 9" xfId="5867"/>
    <cellStyle name="百分比 4 20" xfId="5868"/>
    <cellStyle name="百分比 4 3" xfId="5869"/>
    <cellStyle name="百分比 4 3 10" xfId="5870"/>
    <cellStyle name="百分比 4 3 10 2" xfId="5871"/>
    <cellStyle name="百分比 4 3 10 2 2" xfId="5872"/>
    <cellStyle name="百分比 4 3 10 2 2 2" xfId="5873"/>
    <cellStyle name="百分比 4 3 10 2 2 3" xfId="5874"/>
    <cellStyle name="百分比 4 3 10 2 2 4" xfId="5875"/>
    <cellStyle name="百分比 4 3 10 2 2 5" xfId="5876"/>
    <cellStyle name="百分比 4 3 10 2 2 6" xfId="5877"/>
    <cellStyle name="百分比 4 3 10 2 3" xfId="5878"/>
    <cellStyle name="百分比 4 3 10 2 4" xfId="5879"/>
    <cellStyle name="百分比 4 3 10 2 5" xfId="5880"/>
    <cellStyle name="百分比 4 3 10 2 6" xfId="5881"/>
    <cellStyle name="百分比 4 3 10 2 7" xfId="5882"/>
    <cellStyle name="百分比 4 3 10 3" xfId="5883"/>
    <cellStyle name="百分比 4 3 10 3 2" xfId="5884"/>
    <cellStyle name="百分比 4 3 10 3 2 2" xfId="5885"/>
    <cellStyle name="百分比 4 3 10 3 2 3" xfId="5886"/>
    <cellStyle name="百分比 4 3 10 3 2 4" xfId="5887"/>
    <cellStyle name="百分比 4 3 10 3 2 5" xfId="5888"/>
    <cellStyle name="百分比 4 3 10 3 2 6" xfId="5889"/>
    <cellStyle name="百分比 4 3 10 3 3" xfId="5890"/>
    <cellStyle name="百分比 4 3 10 3 4" xfId="5891"/>
    <cellStyle name="百分比 4 3 10 3 5" xfId="5892"/>
    <cellStyle name="百分比 4 3 10 3 6" xfId="5893"/>
    <cellStyle name="百分比 4 3 10 3 7" xfId="5894"/>
    <cellStyle name="百分比 4 3 10 4" xfId="5895"/>
    <cellStyle name="百分比 4 3 10 4 2" xfId="5896"/>
    <cellStyle name="百分比 4 3 10 4 3" xfId="5897"/>
    <cellStyle name="百分比 4 3 10 4 4" xfId="5898"/>
    <cellStyle name="百分比 4 3 10 4 5" xfId="5899"/>
    <cellStyle name="百分比 4 3 10 4 6" xfId="5900"/>
    <cellStyle name="百分比 4 3 10 5" xfId="5901"/>
    <cellStyle name="百分比 4 3 10 6" xfId="5902"/>
    <cellStyle name="百分比 4 3 10 7" xfId="5903"/>
    <cellStyle name="百分比 4 3 10 8" xfId="5904"/>
    <cellStyle name="百分比 4 3 10 9" xfId="5905"/>
    <cellStyle name="百分比 4 3 11" xfId="5906"/>
    <cellStyle name="百分比 4 3 11 2" xfId="5907"/>
    <cellStyle name="百分比 4 3 11 2 2" xfId="5908"/>
    <cellStyle name="百分比 4 3 11 2 2 2" xfId="5909"/>
    <cellStyle name="百分比 4 3 11 2 2 3" xfId="5910"/>
    <cellStyle name="百分比 4 3 11 2 2 4" xfId="5911"/>
    <cellStyle name="百分比 4 3 11 2 2 5" xfId="5912"/>
    <cellStyle name="百分比 4 3 11 2 2 6" xfId="5913"/>
    <cellStyle name="百分比 4 3 11 2 3" xfId="5914"/>
    <cellStyle name="百分比 4 3 11 2 4" xfId="5915"/>
    <cellStyle name="百分比 4 3 11 2 5" xfId="5916"/>
    <cellStyle name="百分比 4 3 11 2 6" xfId="5917"/>
    <cellStyle name="百分比 4 3 11 2 7" xfId="5918"/>
    <cellStyle name="百分比 4 3 11 3" xfId="5919"/>
    <cellStyle name="百分比 4 3 11 3 2" xfId="5920"/>
    <cellStyle name="百分比 4 3 11 3 3" xfId="5921"/>
    <cellStyle name="百分比 4 3 11 3 4" xfId="5922"/>
    <cellStyle name="百分比 4 3 11 3 5" xfId="5923"/>
    <cellStyle name="百分比 4 3 11 3 6" xfId="5924"/>
    <cellStyle name="百分比 4 3 11 4" xfId="5925"/>
    <cellStyle name="百分比 4 3 11 5" xfId="5926"/>
    <cellStyle name="百分比 4 3 11 6" xfId="5927"/>
    <cellStyle name="百分比 4 3 11 7" xfId="5928"/>
    <cellStyle name="百分比 4 3 11 8" xfId="5929"/>
    <cellStyle name="百分比 4 3 12" xfId="5930"/>
    <cellStyle name="百分比 4 3 12 2" xfId="5931"/>
    <cellStyle name="百分比 4 3 12 2 2" xfId="5932"/>
    <cellStyle name="百分比 4 3 12 2 2 2" xfId="5933"/>
    <cellStyle name="百分比 4 3 12 2 2 3" xfId="5934"/>
    <cellStyle name="百分比 4 3 12 2 2 4" xfId="5935"/>
    <cellStyle name="百分比 4 3 12 2 2 5" xfId="5936"/>
    <cellStyle name="百分比 4 3 12 2 2 6" xfId="5937"/>
    <cellStyle name="百分比 4 3 12 2 3" xfId="5938"/>
    <cellStyle name="百分比 4 3 12 2 4" xfId="5939"/>
    <cellStyle name="百分比 4 3 12 2 5" xfId="5940"/>
    <cellStyle name="百分比 4 3 12 2 6" xfId="5941"/>
    <cellStyle name="百分比 4 3 12 2 7" xfId="5942"/>
    <cellStyle name="百分比 4 3 12 3" xfId="5943"/>
    <cellStyle name="百分比 4 3 12 3 2" xfId="5944"/>
    <cellStyle name="百分比 4 3 12 3 3" xfId="5945"/>
    <cellStyle name="百分比 4 3 12 3 4" xfId="5946"/>
    <cellStyle name="百分比 4 3 12 3 5" xfId="5947"/>
    <cellStyle name="百分比 4 3 12 3 6" xfId="5948"/>
    <cellStyle name="百分比 4 3 12 4" xfId="5949"/>
    <cellStyle name="百分比 4 3 12 5" xfId="5950"/>
    <cellStyle name="百分比 4 3 12 6" xfId="5951"/>
    <cellStyle name="百分比 4 3 12 7" xfId="5952"/>
    <cellStyle name="百分比 4 3 12 8" xfId="5953"/>
    <cellStyle name="百分比 4 3 13" xfId="5954"/>
    <cellStyle name="百分比 4 3 13 2" xfId="5955"/>
    <cellStyle name="百分比 4 3 13 2 2" xfId="5956"/>
    <cellStyle name="百分比 4 3 13 2 2 2" xfId="5957"/>
    <cellStyle name="百分比 4 3 13 2 2 3" xfId="5958"/>
    <cellStyle name="百分比 4 3 13 2 2 4" xfId="5959"/>
    <cellStyle name="百分比 4 3 13 2 2 5" xfId="5960"/>
    <cellStyle name="百分比 4 3 13 2 2 6" xfId="5961"/>
    <cellStyle name="百分比 4 3 13 2 3" xfId="5962"/>
    <cellStyle name="百分比 4 3 13 2 4" xfId="5963"/>
    <cellStyle name="百分比 4 3 13 2 5" xfId="5964"/>
    <cellStyle name="百分比 4 3 13 2 6" xfId="5965"/>
    <cellStyle name="百分比 4 3 13 2 7" xfId="5966"/>
    <cellStyle name="百分比 4 3 13 3" xfId="5967"/>
    <cellStyle name="百分比 4 3 13 3 2" xfId="5968"/>
    <cellStyle name="百分比 4 3 13 3 3" xfId="5969"/>
    <cellStyle name="百分比 4 3 13 3 4" xfId="5970"/>
    <cellStyle name="百分比 4 3 13 3 5" xfId="5971"/>
    <cellStyle name="百分比 4 3 13 3 6" xfId="5972"/>
    <cellStyle name="百分比 4 3 13 4" xfId="5973"/>
    <cellStyle name="百分比 4 3 13 5" xfId="5974"/>
    <cellStyle name="百分比 4 3 13 6" xfId="5975"/>
    <cellStyle name="百分比 4 3 13 7" xfId="5976"/>
    <cellStyle name="百分比 4 3 13 8" xfId="5977"/>
    <cellStyle name="百分比 4 3 14" xfId="5978"/>
    <cellStyle name="百分比 4 3 14 2" xfId="5979"/>
    <cellStyle name="百分比 4 3 14 2 2" xfId="5980"/>
    <cellStyle name="百分比 4 3 14 2 2 2" xfId="5981"/>
    <cellStyle name="百分比 4 3 14 2 2 3" xfId="5982"/>
    <cellStyle name="百分比 4 3 14 2 2 4" xfId="5983"/>
    <cellStyle name="百分比 4 3 14 2 2 5" xfId="5984"/>
    <cellStyle name="百分比 4 3 14 2 2 6" xfId="5985"/>
    <cellStyle name="百分比 4 3 14 2 3" xfId="5986"/>
    <cellStyle name="百分比 4 3 14 2 4" xfId="5987"/>
    <cellStyle name="百分比 4 3 14 2 5" xfId="5988"/>
    <cellStyle name="百分比 4 3 14 2 6" xfId="5989"/>
    <cellStyle name="百分比 4 3 14 2 7" xfId="5990"/>
    <cellStyle name="百分比 4 3 14 3" xfId="5991"/>
    <cellStyle name="百分比 4 3 14 3 2" xfId="5992"/>
    <cellStyle name="百分比 4 3 14 3 3" xfId="5993"/>
    <cellStyle name="百分比 4 3 14 3 4" xfId="5994"/>
    <cellStyle name="百分比 4 3 14 3 5" xfId="5995"/>
    <cellStyle name="百分比 4 3 14 3 6" xfId="5996"/>
    <cellStyle name="百分比 4 3 14 4" xfId="5997"/>
    <cellStyle name="百分比 4 3 14 5" xfId="5998"/>
    <cellStyle name="百分比 4 3 14 6" xfId="5999"/>
    <cellStyle name="百分比 4 3 14 7" xfId="6000"/>
    <cellStyle name="百分比 4 3 14 8" xfId="6001"/>
    <cellStyle name="百分比 4 3 15" xfId="6002"/>
    <cellStyle name="百分比 4 3 15 2" xfId="6003"/>
    <cellStyle name="百分比 4 3 15 2 2" xfId="6004"/>
    <cellStyle name="百分比 4 3 15 2 3" xfId="6005"/>
    <cellStyle name="百分比 4 3 15 2 4" xfId="6006"/>
    <cellStyle name="百分比 4 3 15 2 5" xfId="6007"/>
    <cellStyle name="百分比 4 3 15 2 6" xfId="6008"/>
    <cellStyle name="百分比 4 3 15 3" xfId="6009"/>
    <cellStyle name="百分比 4 3 15 4" xfId="6010"/>
    <cellStyle name="百分比 4 3 15 5" xfId="6011"/>
    <cellStyle name="百分比 4 3 15 6" xfId="6012"/>
    <cellStyle name="百分比 4 3 15 7" xfId="6013"/>
    <cellStyle name="百分比 4 3 16" xfId="6014"/>
    <cellStyle name="百分比 4 3 2" xfId="6015"/>
    <cellStyle name="百分比 4 3 2 10" xfId="6016"/>
    <cellStyle name="百分比 4 3 2 10 2" xfId="6017"/>
    <cellStyle name="百分比 4 3 2 10 2 2" xfId="6018"/>
    <cellStyle name="百分比 4 3 2 10 2 3" xfId="6019"/>
    <cellStyle name="百分比 4 3 2 10 2 4" xfId="6020"/>
    <cellStyle name="百分比 4 3 2 10 2 5" xfId="6021"/>
    <cellStyle name="百分比 4 3 2 10 2 6" xfId="6022"/>
    <cellStyle name="百分比 4 3 2 10 3" xfId="6023"/>
    <cellStyle name="百分比 4 3 2 10 4" xfId="6024"/>
    <cellStyle name="百分比 4 3 2 10 5" xfId="6025"/>
    <cellStyle name="百分比 4 3 2 10 6" xfId="6026"/>
    <cellStyle name="百分比 4 3 2 10 7" xfId="6027"/>
    <cellStyle name="百分比 4 3 2 11" xfId="6028"/>
    <cellStyle name="百分比 4 3 2 11 2" xfId="6029"/>
    <cellStyle name="百分比 4 3 2 11 3" xfId="6030"/>
    <cellStyle name="百分比 4 3 2 11 4" xfId="6031"/>
    <cellStyle name="百分比 4 3 2 11 5" xfId="6032"/>
    <cellStyle name="百分比 4 3 2 11 6" xfId="6033"/>
    <cellStyle name="百分比 4 3 2 12" xfId="6034"/>
    <cellStyle name="百分比 4 3 2 13" xfId="6035"/>
    <cellStyle name="百分比 4 3 2 14" xfId="6036"/>
    <cellStyle name="百分比 4 3 2 15" xfId="6037"/>
    <cellStyle name="百分比 4 3 2 16" xfId="6038"/>
    <cellStyle name="百分比 4 3 2 17" xfId="6039"/>
    <cellStyle name="百分比 4 3 2 2" xfId="6040"/>
    <cellStyle name="百分比 4 3 2 2 2" xfId="6041"/>
    <cellStyle name="百分比 4 3 2 2 2 2" xfId="6042"/>
    <cellStyle name="百分比 4 3 2 2 2 2 2" xfId="6043"/>
    <cellStyle name="百分比 4 3 2 2 2 3" xfId="6044"/>
    <cellStyle name="百分比 4 3 2 2 2 3 2" xfId="6045"/>
    <cellStyle name="百分比 4 3 2 2 2 4" xfId="6046"/>
    <cellStyle name="百分比 4 3 2 2 2 5" xfId="6047"/>
    <cellStyle name="百分比 4 3 2 2 2 6" xfId="6048"/>
    <cellStyle name="百分比 4 3 2 2 2 7" xfId="6049"/>
    <cellStyle name="百分比 4 3 2 2 3" xfId="6050"/>
    <cellStyle name="百分比 4 3 2 2 3 2" xfId="6051"/>
    <cellStyle name="百分比 4 3 2 2 4" xfId="6052"/>
    <cellStyle name="百分比 4 3 2 2 4 2" xfId="6053"/>
    <cellStyle name="百分比 4 3 2 2 5" xfId="6054"/>
    <cellStyle name="百分比 4 3 2 2 6" xfId="6055"/>
    <cellStyle name="百分比 4 3 2 2 7" xfId="6056"/>
    <cellStyle name="百分比 4 3 2 2 8" xfId="6057"/>
    <cellStyle name="百分比 4 3 2 3" xfId="6058"/>
    <cellStyle name="百分比 4 3 2 3 2" xfId="6059"/>
    <cellStyle name="百分比 4 3 2 3 2 2" xfId="6060"/>
    <cellStyle name="百分比 4 3 2 3 2 3" xfId="6061"/>
    <cellStyle name="百分比 4 3 2 3 2 4" xfId="6062"/>
    <cellStyle name="百分比 4 3 2 3 2 5" xfId="6063"/>
    <cellStyle name="百分比 4 3 2 3 2 6" xfId="6064"/>
    <cellStyle name="百分比 4 3 2 3 2 7" xfId="6065"/>
    <cellStyle name="百分比 4 3 2 3 3" xfId="6066"/>
    <cellStyle name="百分比 4 3 2 3 3 2" xfId="6067"/>
    <cellStyle name="百分比 4 3 2 3 4" xfId="6068"/>
    <cellStyle name="百分比 4 3 2 3 5" xfId="6069"/>
    <cellStyle name="百分比 4 3 2 3 6" xfId="6070"/>
    <cellStyle name="百分比 4 3 2 3 7" xfId="6071"/>
    <cellStyle name="百分比 4 3 2 3 8" xfId="6072"/>
    <cellStyle name="百分比 4 3 2 4" xfId="6073"/>
    <cellStyle name="百分比 4 3 2 4 2" xfId="6074"/>
    <cellStyle name="百分比 4 3 2 4 2 2" xfId="6075"/>
    <cellStyle name="百分比 4 3 2 4 2 3" xfId="6076"/>
    <cellStyle name="百分比 4 3 2 4 2 4" xfId="6077"/>
    <cellStyle name="百分比 4 3 2 4 2 5" xfId="6078"/>
    <cellStyle name="百分比 4 3 2 4 2 6" xfId="6079"/>
    <cellStyle name="百分比 4 3 2 4 3" xfId="6080"/>
    <cellStyle name="百分比 4 3 2 4 4" xfId="6081"/>
    <cellStyle name="百分比 4 3 2 4 5" xfId="6082"/>
    <cellStyle name="百分比 4 3 2 4 6" xfId="6083"/>
    <cellStyle name="百分比 4 3 2 4 7" xfId="6084"/>
    <cellStyle name="百分比 4 3 2 4 8" xfId="6085"/>
    <cellStyle name="百分比 4 3 2 5" xfId="6086"/>
    <cellStyle name="百分比 4 3 2 5 2" xfId="6087"/>
    <cellStyle name="百分比 4 3 2 5 2 2" xfId="6088"/>
    <cellStyle name="百分比 4 3 2 5 2 3" xfId="6089"/>
    <cellStyle name="百分比 4 3 2 5 2 4" xfId="6090"/>
    <cellStyle name="百分比 4 3 2 5 2 5" xfId="6091"/>
    <cellStyle name="百分比 4 3 2 5 2 6" xfId="6092"/>
    <cellStyle name="百分比 4 3 2 5 3" xfId="6093"/>
    <cellStyle name="百分比 4 3 2 5 4" xfId="6094"/>
    <cellStyle name="百分比 4 3 2 5 5" xfId="6095"/>
    <cellStyle name="百分比 4 3 2 5 6" xfId="6096"/>
    <cellStyle name="百分比 4 3 2 5 7" xfId="6097"/>
    <cellStyle name="百分比 4 3 2 5 8" xfId="6098"/>
    <cellStyle name="百分比 4 3 2 6" xfId="6099"/>
    <cellStyle name="百分比 4 3 2 6 2" xfId="6100"/>
    <cellStyle name="百分比 4 3 2 6 2 2" xfId="6101"/>
    <cellStyle name="百分比 4 3 2 6 2 3" xfId="6102"/>
    <cellStyle name="百分比 4 3 2 6 2 4" xfId="6103"/>
    <cellStyle name="百分比 4 3 2 6 2 5" xfId="6104"/>
    <cellStyle name="百分比 4 3 2 6 2 6" xfId="6105"/>
    <cellStyle name="百分比 4 3 2 6 3" xfId="6106"/>
    <cellStyle name="百分比 4 3 2 6 4" xfId="6107"/>
    <cellStyle name="百分比 4 3 2 6 5" xfId="6108"/>
    <cellStyle name="百分比 4 3 2 6 6" xfId="6109"/>
    <cellStyle name="百分比 4 3 2 6 7" xfId="6110"/>
    <cellStyle name="百分比 4 3 2 7" xfId="6111"/>
    <cellStyle name="百分比 4 3 2 7 2" xfId="6112"/>
    <cellStyle name="百分比 4 3 2 7 2 2" xfId="6113"/>
    <cellStyle name="百分比 4 3 2 7 2 3" xfId="6114"/>
    <cellStyle name="百分比 4 3 2 7 2 4" xfId="6115"/>
    <cellStyle name="百分比 4 3 2 7 2 5" xfId="6116"/>
    <cellStyle name="百分比 4 3 2 7 2 6" xfId="6117"/>
    <cellStyle name="百分比 4 3 2 7 3" xfId="6118"/>
    <cellStyle name="百分比 4 3 2 7 4" xfId="6119"/>
    <cellStyle name="百分比 4 3 2 7 5" xfId="6120"/>
    <cellStyle name="百分比 4 3 2 7 6" xfId="6121"/>
    <cellStyle name="百分比 4 3 2 7 7" xfId="6122"/>
    <cellStyle name="百分比 4 3 2 7 8" xfId="6123"/>
    <cellStyle name="百分比 4 3 2 8" xfId="6124"/>
    <cellStyle name="百分比 4 3 2 8 2" xfId="6125"/>
    <cellStyle name="百分比 4 3 2 8 2 2" xfId="6126"/>
    <cellStyle name="百分比 4 3 2 8 2 3" xfId="6127"/>
    <cellStyle name="百分比 4 3 2 8 2 4" xfId="6128"/>
    <cellStyle name="百分比 4 3 2 8 2 5" xfId="6129"/>
    <cellStyle name="百分比 4 3 2 8 2 6" xfId="6130"/>
    <cellStyle name="百分比 4 3 2 8 3" xfId="6131"/>
    <cellStyle name="百分比 4 3 2 8 4" xfId="6132"/>
    <cellStyle name="百分比 4 3 2 8 5" xfId="6133"/>
    <cellStyle name="百分比 4 3 2 8 6" xfId="6134"/>
    <cellStyle name="百分比 4 3 2 8 7" xfId="6135"/>
    <cellStyle name="百分比 4 3 2 9" xfId="6136"/>
    <cellStyle name="百分比 4 3 2 9 2" xfId="6137"/>
    <cellStyle name="百分比 4 3 2 9 2 2" xfId="6138"/>
    <cellStyle name="百分比 4 3 2 9 2 3" xfId="6139"/>
    <cellStyle name="百分比 4 3 2 9 2 4" xfId="6140"/>
    <cellStyle name="百分比 4 3 2 9 2 5" xfId="6141"/>
    <cellStyle name="百分比 4 3 2 9 2 6" xfId="6142"/>
    <cellStyle name="百分比 4 3 2 9 3" xfId="6143"/>
    <cellStyle name="百分比 4 3 2 9 4" xfId="6144"/>
    <cellStyle name="百分比 4 3 2 9 5" xfId="6145"/>
    <cellStyle name="百分比 4 3 2 9 6" xfId="6146"/>
    <cellStyle name="百分比 4 3 2 9 7" xfId="6147"/>
    <cellStyle name="百分比 4 3 3" xfId="6148"/>
    <cellStyle name="百分比 4 3 3 10" xfId="6149"/>
    <cellStyle name="百分比 4 3 3 10 2" xfId="6150"/>
    <cellStyle name="百分比 4 3 3 10 3" xfId="6151"/>
    <cellStyle name="百分比 4 3 3 10 4" xfId="6152"/>
    <cellStyle name="百分比 4 3 3 10 5" xfId="6153"/>
    <cellStyle name="百分比 4 3 3 10 6" xfId="6154"/>
    <cellStyle name="百分比 4 3 3 11" xfId="6155"/>
    <cellStyle name="百分比 4 3 3 12" xfId="6156"/>
    <cellStyle name="百分比 4 3 3 13" xfId="6157"/>
    <cellStyle name="百分比 4 3 3 14" xfId="6158"/>
    <cellStyle name="百分比 4 3 3 15" xfId="6159"/>
    <cellStyle name="百分比 4 3 3 16" xfId="6160"/>
    <cellStyle name="百分比 4 3 3 2" xfId="6161"/>
    <cellStyle name="百分比 4 3 3 2 2" xfId="6162"/>
    <cellStyle name="百分比 4 3 3 2 2 2" xfId="6163"/>
    <cellStyle name="百分比 4 3 3 2 2 3" xfId="6164"/>
    <cellStyle name="百分比 4 3 3 2 2 4" xfId="6165"/>
    <cellStyle name="百分比 4 3 3 2 2 5" xfId="6166"/>
    <cellStyle name="百分比 4 3 3 2 2 6" xfId="6167"/>
    <cellStyle name="百分比 4 3 3 2 2 7" xfId="6168"/>
    <cellStyle name="百分比 4 3 3 2 3" xfId="6169"/>
    <cellStyle name="百分比 4 3 3 2 3 2" xfId="6170"/>
    <cellStyle name="百分比 4 3 3 2 4" xfId="6171"/>
    <cellStyle name="百分比 4 3 3 2 5" xfId="6172"/>
    <cellStyle name="百分比 4 3 3 2 6" xfId="6173"/>
    <cellStyle name="百分比 4 3 3 2 7" xfId="6174"/>
    <cellStyle name="百分比 4 3 3 2 8" xfId="6175"/>
    <cellStyle name="百分比 4 3 3 3" xfId="6176"/>
    <cellStyle name="百分比 4 3 3 3 2" xfId="6177"/>
    <cellStyle name="百分比 4 3 3 3 2 2" xfId="6178"/>
    <cellStyle name="百分比 4 3 3 3 2 3" xfId="6179"/>
    <cellStyle name="百分比 4 3 3 3 2 4" xfId="6180"/>
    <cellStyle name="百分比 4 3 3 3 2 5" xfId="6181"/>
    <cellStyle name="百分比 4 3 3 3 2 6" xfId="6182"/>
    <cellStyle name="百分比 4 3 3 3 2 7" xfId="6183"/>
    <cellStyle name="百分比 4 3 3 3 3" xfId="6184"/>
    <cellStyle name="百分比 4 3 3 3 3 2" xfId="6185"/>
    <cellStyle name="百分比 4 3 3 3 4" xfId="6186"/>
    <cellStyle name="百分比 4 3 3 3 5" xfId="6187"/>
    <cellStyle name="百分比 4 3 3 3 6" xfId="6188"/>
    <cellStyle name="百分比 4 3 3 3 7" xfId="6189"/>
    <cellStyle name="百分比 4 3 3 3 8" xfId="6190"/>
    <cellStyle name="百分比 4 3 3 4" xfId="6191"/>
    <cellStyle name="百分比 4 3 3 4 2" xfId="6192"/>
    <cellStyle name="百分比 4 3 3 4 2 2" xfId="6193"/>
    <cellStyle name="百分比 4 3 3 4 2 3" xfId="6194"/>
    <cellStyle name="百分比 4 3 3 4 2 4" xfId="6195"/>
    <cellStyle name="百分比 4 3 3 4 2 5" xfId="6196"/>
    <cellStyle name="百分比 4 3 3 4 2 6" xfId="6197"/>
    <cellStyle name="百分比 4 3 3 4 3" xfId="6198"/>
    <cellStyle name="百分比 4 3 3 4 4" xfId="6199"/>
    <cellStyle name="百分比 4 3 3 4 5" xfId="6200"/>
    <cellStyle name="百分比 4 3 3 4 6" xfId="6201"/>
    <cellStyle name="百分比 4 3 3 4 7" xfId="6202"/>
    <cellStyle name="百分比 4 3 3 4 8" xfId="6203"/>
    <cellStyle name="百分比 4 3 3 5" xfId="6204"/>
    <cellStyle name="百分比 4 3 3 5 2" xfId="6205"/>
    <cellStyle name="百分比 4 3 3 5 2 2" xfId="6206"/>
    <cellStyle name="百分比 4 3 3 5 2 3" xfId="6207"/>
    <cellStyle name="百分比 4 3 3 5 2 4" xfId="6208"/>
    <cellStyle name="百分比 4 3 3 5 2 5" xfId="6209"/>
    <cellStyle name="百分比 4 3 3 5 2 6" xfId="6210"/>
    <cellStyle name="百分比 4 3 3 5 3" xfId="6211"/>
    <cellStyle name="百分比 4 3 3 5 4" xfId="6212"/>
    <cellStyle name="百分比 4 3 3 5 5" xfId="6213"/>
    <cellStyle name="百分比 4 3 3 5 6" xfId="6214"/>
    <cellStyle name="百分比 4 3 3 5 7" xfId="6215"/>
    <cellStyle name="百分比 4 3 3 5 8" xfId="6216"/>
    <cellStyle name="百分比 4 3 3 6" xfId="6217"/>
    <cellStyle name="百分比 4 3 3 6 2" xfId="6218"/>
    <cellStyle name="百分比 4 3 3 6 2 2" xfId="6219"/>
    <cellStyle name="百分比 4 3 3 6 2 3" xfId="6220"/>
    <cellStyle name="百分比 4 3 3 6 2 4" xfId="6221"/>
    <cellStyle name="百分比 4 3 3 6 2 5" xfId="6222"/>
    <cellStyle name="百分比 4 3 3 6 2 6" xfId="6223"/>
    <cellStyle name="百分比 4 3 3 6 3" xfId="6224"/>
    <cellStyle name="百分比 4 3 3 6 4" xfId="6225"/>
    <cellStyle name="百分比 4 3 3 6 5" xfId="6226"/>
    <cellStyle name="百分比 4 3 3 6 6" xfId="6227"/>
    <cellStyle name="百分比 4 3 3 6 7" xfId="6228"/>
    <cellStyle name="百分比 4 3 3 7" xfId="6229"/>
    <cellStyle name="百分比 4 3 3 7 2" xfId="6230"/>
    <cellStyle name="百分比 4 3 3 7 2 2" xfId="6231"/>
    <cellStyle name="百分比 4 3 3 7 2 3" xfId="6232"/>
    <cellStyle name="百分比 4 3 3 7 2 4" xfId="6233"/>
    <cellStyle name="百分比 4 3 3 7 2 5" xfId="6234"/>
    <cellStyle name="百分比 4 3 3 7 2 6" xfId="6235"/>
    <cellStyle name="百分比 4 3 3 7 3" xfId="6236"/>
    <cellStyle name="百分比 4 3 3 7 4" xfId="6237"/>
    <cellStyle name="百分比 4 3 3 7 5" xfId="6238"/>
    <cellStyle name="百分比 4 3 3 7 6" xfId="6239"/>
    <cellStyle name="百分比 4 3 3 7 7" xfId="6240"/>
    <cellStyle name="百分比 4 3 3 8" xfId="6241"/>
    <cellStyle name="百分比 4 3 3 8 2" xfId="6242"/>
    <cellStyle name="百分比 4 3 3 8 2 2" xfId="6243"/>
    <cellStyle name="百分比 4 3 3 8 2 3" xfId="6244"/>
    <cellStyle name="百分比 4 3 3 8 2 4" xfId="6245"/>
    <cellStyle name="百分比 4 3 3 8 2 5" xfId="6246"/>
    <cellStyle name="百分比 4 3 3 8 2 6" xfId="6247"/>
    <cellStyle name="百分比 4 3 3 8 3" xfId="6248"/>
    <cellStyle name="百分比 4 3 3 8 4" xfId="6249"/>
    <cellStyle name="百分比 4 3 3 8 5" xfId="6250"/>
    <cellStyle name="百分比 4 3 3 8 6" xfId="6251"/>
    <cellStyle name="百分比 4 3 3 8 7" xfId="6252"/>
    <cellStyle name="百分比 4 3 3 9" xfId="6253"/>
    <cellStyle name="百分比 4 3 3 9 2" xfId="6254"/>
    <cellStyle name="百分比 4 3 3 9 2 2" xfId="6255"/>
    <cellStyle name="百分比 4 3 3 9 2 3" xfId="6256"/>
    <cellStyle name="百分比 4 3 3 9 2 4" xfId="6257"/>
    <cellStyle name="百分比 4 3 3 9 2 5" xfId="6258"/>
    <cellStyle name="百分比 4 3 3 9 2 6" xfId="6259"/>
    <cellStyle name="百分比 4 3 3 9 3" xfId="6260"/>
    <cellStyle name="百分比 4 3 3 9 4" xfId="6261"/>
    <cellStyle name="百分比 4 3 3 9 5" xfId="6262"/>
    <cellStyle name="百分比 4 3 3 9 6" xfId="6263"/>
    <cellStyle name="百分比 4 3 3 9 7" xfId="6264"/>
    <cellStyle name="百分比 4 3 4" xfId="6265"/>
    <cellStyle name="百分比 4 3 4 10" xfId="6266"/>
    <cellStyle name="百分比 4 3 4 10 2" xfId="6267"/>
    <cellStyle name="百分比 4 3 4 10 3" xfId="6268"/>
    <cellStyle name="百分比 4 3 4 10 4" xfId="6269"/>
    <cellStyle name="百分比 4 3 4 10 5" xfId="6270"/>
    <cellStyle name="百分比 4 3 4 10 6" xfId="6271"/>
    <cellStyle name="百分比 4 3 4 11" xfId="6272"/>
    <cellStyle name="百分比 4 3 4 12" xfId="6273"/>
    <cellStyle name="百分比 4 3 4 13" xfId="6274"/>
    <cellStyle name="百分比 4 3 4 14" xfId="6275"/>
    <cellStyle name="百分比 4 3 4 15" xfId="6276"/>
    <cellStyle name="百分比 4 3 4 16" xfId="6277"/>
    <cellStyle name="百分比 4 3 4 2" xfId="6278"/>
    <cellStyle name="百分比 4 3 4 2 2" xfId="6279"/>
    <cellStyle name="百分比 4 3 4 2 2 2" xfId="6280"/>
    <cellStyle name="百分比 4 3 4 2 2 3" xfId="6281"/>
    <cellStyle name="百分比 4 3 4 2 2 4" xfId="6282"/>
    <cellStyle name="百分比 4 3 4 2 2 5" xfId="6283"/>
    <cellStyle name="百分比 4 3 4 2 2 6" xfId="6284"/>
    <cellStyle name="百分比 4 3 4 2 3" xfId="6285"/>
    <cellStyle name="百分比 4 3 4 2 4" xfId="6286"/>
    <cellStyle name="百分比 4 3 4 2 5" xfId="6287"/>
    <cellStyle name="百分比 4 3 4 2 6" xfId="6288"/>
    <cellStyle name="百分比 4 3 4 2 7" xfId="6289"/>
    <cellStyle name="百分比 4 3 4 2 8" xfId="6290"/>
    <cellStyle name="百分比 4 3 4 3" xfId="6291"/>
    <cellStyle name="百分比 4 3 4 3 2" xfId="6292"/>
    <cellStyle name="百分比 4 3 4 3 2 2" xfId="6293"/>
    <cellStyle name="百分比 4 3 4 3 2 3" xfId="6294"/>
    <cellStyle name="百分比 4 3 4 3 2 4" xfId="6295"/>
    <cellStyle name="百分比 4 3 4 3 2 5" xfId="6296"/>
    <cellStyle name="百分比 4 3 4 3 2 6" xfId="6297"/>
    <cellStyle name="百分比 4 3 4 3 3" xfId="6298"/>
    <cellStyle name="百分比 4 3 4 3 4" xfId="6299"/>
    <cellStyle name="百分比 4 3 4 3 5" xfId="6300"/>
    <cellStyle name="百分比 4 3 4 3 6" xfId="6301"/>
    <cellStyle name="百分比 4 3 4 3 7" xfId="6302"/>
    <cellStyle name="百分比 4 3 4 3 8" xfId="6303"/>
    <cellStyle name="百分比 4 3 4 4" xfId="6304"/>
    <cellStyle name="百分比 4 3 4 4 2" xfId="6305"/>
    <cellStyle name="百分比 4 3 4 4 2 2" xfId="6306"/>
    <cellStyle name="百分比 4 3 4 4 2 3" xfId="6307"/>
    <cellStyle name="百分比 4 3 4 4 2 4" xfId="6308"/>
    <cellStyle name="百分比 4 3 4 4 2 5" xfId="6309"/>
    <cellStyle name="百分比 4 3 4 4 2 6" xfId="6310"/>
    <cellStyle name="百分比 4 3 4 4 3" xfId="6311"/>
    <cellStyle name="百分比 4 3 4 4 4" xfId="6312"/>
    <cellStyle name="百分比 4 3 4 4 5" xfId="6313"/>
    <cellStyle name="百分比 4 3 4 4 6" xfId="6314"/>
    <cellStyle name="百分比 4 3 4 4 7" xfId="6315"/>
    <cellStyle name="百分比 4 3 4 5" xfId="6316"/>
    <cellStyle name="百分比 4 3 4 5 2" xfId="6317"/>
    <cellStyle name="百分比 4 3 4 5 2 2" xfId="6318"/>
    <cellStyle name="百分比 4 3 4 5 2 3" xfId="6319"/>
    <cellStyle name="百分比 4 3 4 5 2 4" xfId="6320"/>
    <cellStyle name="百分比 4 3 4 5 2 5" xfId="6321"/>
    <cellStyle name="百分比 4 3 4 5 2 6" xfId="6322"/>
    <cellStyle name="百分比 4 3 4 5 3" xfId="6323"/>
    <cellStyle name="百分比 4 3 4 5 4" xfId="6324"/>
    <cellStyle name="百分比 4 3 4 5 5" xfId="6325"/>
    <cellStyle name="百分比 4 3 4 5 6" xfId="6326"/>
    <cellStyle name="百分比 4 3 4 5 7" xfId="6327"/>
    <cellStyle name="百分比 4 3 4 6" xfId="6328"/>
    <cellStyle name="百分比 4 3 4 6 2" xfId="6329"/>
    <cellStyle name="百分比 4 3 4 6 2 2" xfId="6330"/>
    <cellStyle name="百分比 4 3 4 6 2 3" xfId="6331"/>
    <cellStyle name="百分比 4 3 4 6 2 4" xfId="6332"/>
    <cellStyle name="百分比 4 3 4 6 2 5" xfId="6333"/>
    <cellStyle name="百分比 4 3 4 6 2 6" xfId="6334"/>
    <cellStyle name="百分比 4 3 4 6 3" xfId="6335"/>
    <cellStyle name="百分比 4 3 4 6 4" xfId="6336"/>
    <cellStyle name="百分比 4 3 4 6 5" xfId="6337"/>
    <cellStyle name="百分比 4 3 4 6 6" xfId="6338"/>
    <cellStyle name="百分比 4 3 4 6 7" xfId="6339"/>
    <cellStyle name="百分比 4 3 4 7" xfId="6340"/>
    <cellStyle name="百分比 4 3 4 7 2" xfId="6341"/>
    <cellStyle name="百分比 4 3 4 7 2 2" xfId="6342"/>
    <cellStyle name="百分比 4 3 4 7 2 3" xfId="6343"/>
    <cellStyle name="百分比 4 3 4 7 2 4" xfId="6344"/>
    <cellStyle name="百分比 4 3 4 7 2 5" xfId="6345"/>
    <cellStyle name="百分比 4 3 4 7 2 6" xfId="6346"/>
    <cellStyle name="百分比 4 3 4 7 3" xfId="6347"/>
    <cellStyle name="百分比 4 3 4 7 4" xfId="6348"/>
    <cellStyle name="百分比 4 3 4 7 5" xfId="6349"/>
    <cellStyle name="百分比 4 3 4 7 6" xfId="6350"/>
    <cellStyle name="百分比 4 3 4 7 7" xfId="6351"/>
    <cellStyle name="百分比 4 3 4 8" xfId="6352"/>
    <cellStyle name="百分比 4 3 4 8 2" xfId="6353"/>
    <cellStyle name="百分比 4 3 4 8 2 2" xfId="6354"/>
    <cellStyle name="百分比 4 3 4 8 2 3" xfId="6355"/>
    <cellStyle name="百分比 4 3 4 8 2 4" xfId="6356"/>
    <cellStyle name="百分比 4 3 4 8 2 5" xfId="6357"/>
    <cellStyle name="百分比 4 3 4 8 2 6" xfId="6358"/>
    <cellStyle name="百分比 4 3 4 8 3" xfId="6359"/>
    <cellStyle name="百分比 4 3 4 8 4" xfId="6360"/>
    <cellStyle name="百分比 4 3 4 8 5" xfId="6361"/>
    <cellStyle name="百分比 4 3 4 8 6" xfId="6362"/>
    <cellStyle name="百分比 4 3 4 8 7" xfId="6363"/>
    <cellStyle name="百分比 4 3 4 9" xfId="6364"/>
    <cellStyle name="百分比 4 3 4 9 2" xfId="6365"/>
    <cellStyle name="百分比 4 3 4 9 2 2" xfId="6366"/>
    <cellStyle name="百分比 4 3 4 9 2 3" xfId="6367"/>
    <cellStyle name="百分比 4 3 4 9 2 4" xfId="6368"/>
    <cellStyle name="百分比 4 3 4 9 2 5" xfId="6369"/>
    <cellStyle name="百分比 4 3 4 9 2 6" xfId="6370"/>
    <cellStyle name="百分比 4 3 4 9 3" xfId="6371"/>
    <cellStyle name="百分比 4 3 4 9 4" xfId="6372"/>
    <cellStyle name="百分比 4 3 4 9 5" xfId="6373"/>
    <cellStyle name="百分比 4 3 4 9 6" xfId="6374"/>
    <cellStyle name="百分比 4 3 4 9 7" xfId="6375"/>
    <cellStyle name="百分比 4 3 5" xfId="6376"/>
    <cellStyle name="百分比 4 3 5 10" xfId="6377"/>
    <cellStyle name="百分比 4 3 5 11" xfId="6378"/>
    <cellStyle name="百分比 4 3 5 12" xfId="6379"/>
    <cellStyle name="百分比 4 3 5 13" xfId="6380"/>
    <cellStyle name="百分比 4 3 5 14" xfId="6381"/>
    <cellStyle name="百分比 4 3 5 15" xfId="6382"/>
    <cellStyle name="百分比 4 3 5 2" xfId="6383"/>
    <cellStyle name="百分比 4 3 5 2 2" xfId="6384"/>
    <cellStyle name="百分比 4 3 5 2 2 2" xfId="6385"/>
    <cellStyle name="百分比 4 3 5 2 2 3" xfId="6386"/>
    <cellStyle name="百分比 4 3 5 2 2 4" xfId="6387"/>
    <cellStyle name="百分比 4 3 5 2 2 5" xfId="6388"/>
    <cellStyle name="百分比 4 3 5 2 2 6" xfId="6389"/>
    <cellStyle name="百分比 4 3 5 2 3" xfId="6390"/>
    <cellStyle name="百分比 4 3 5 2 4" xfId="6391"/>
    <cellStyle name="百分比 4 3 5 2 5" xfId="6392"/>
    <cellStyle name="百分比 4 3 5 2 6" xfId="6393"/>
    <cellStyle name="百分比 4 3 5 2 7" xfId="6394"/>
    <cellStyle name="百分比 4 3 5 2 8" xfId="6395"/>
    <cellStyle name="百分比 4 3 5 3" xfId="6396"/>
    <cellStyle name="百分比 4 3 5 3 2" xfId="6397"/>
    <cellStyle name="百分比 4 3 5 3 2 2" xfId="6398"/>
    <cellStyle name="百分比 4 3 5 3 2 3" xfId="6399"/>
    <cellStyle name="百分比 4 3 5 3 2 4" xfId="6400"/>
    <cellStyle name="百分比 4 3 5 3 2 5" xfId="6401"/>
    <cellStyle name="百分比 4 3 5 3 2 6" xfId="6402"/>
    <cellStyle name="百分比 4 3 5 3 3" xfId="6403"/>
    <cellStyle name="百分比 4 3 5 3 4" xfId="6404"/>
    <cellStyle name="百分比 4 3 5 3 5" xfId="6405"/>
    <cellStyle name="百分比 4 3 5 3 6" xfId="6406"/>
    <cellStyle name="百分比 4 3 5 3 7" xfId="6407"/>
    <cellStyle name="百分比 4 3 5 3 8" xfId="6408"/>
    <cellStyle name="百分比 4 3 5 4" xfId="6409"/>
    <cellStyle name="百分比 4 3 5 4 2" xfId="6410"/>
    <cellStyle name="百分比 4 3 5 4 2 2" xfId="6411"/>
    <cellStyle name="百分比 4 3 5 4 2 3" xfId="6412"/>
    <cellStyle name="百分比 4 3 5 4 2 4" xfId="6413"/>
    <cellStyle name="百分比 4 3 5 4 2 5" xfId="6414"/>
    <cellStyle name="百分比 4 3 5 4 2 6" xfId="6415"/>
    <cellStyle name="百分比 4 3 5 4 3" xfId="6416"/>
    <cellStyle name="百分比 4 3 5 4 4" xfId="6417"/>
    <cellStyle name="百分比 4 3 5 4 5" xfId="6418"/>
    <cellStyle name="百分比 4 3 5 4 6" xfId="6419"/>
    <cellStyle name="百分比 4 3 5 4 7" xfId="6420"/>
    <cellStyle name="百分比 4 3 5 5" xfId="6421"/>
    <cellStyle name="百分比 4 3 5 5 2" xfId="6422"/>
    <cellStyle name="百分比 4 3 5 5 2 2" xfId="6423"/>
    <cellStyle name="百分比 4 3 5 5 2 3" xfId="6424"/>
    <cellStyle name="百分比 4 3 5 5 2 4" xfId="6425"/>
    <cellStyle name="百分比 4 3 5 5 2 5" xfId="6426"/>
    <cellStyle name="百分比 4 3 5 5 2 6" xfId="6427"/>
    <cellStyle name="百分比 4 3 5 5 3" xfId="6428"/>
    <cellStyle name="百分比 4 3 5 5 4" xfId="6429"/>
    <cellStyle name="百分比 4 3 5 5 5" xfId="6430"/>
    <cellStyle name="百分比 4 3 5 5 6" xfId="6431"/>
    <cellStyle name="百分比 4 3 5 5 7" xfId="6432"/>
    <cellStyle name="百分比 4 3 5 6" xfId="6433"/>
    <cellStyle name="百分比 4 3 5 6 2" xfId="6434"/>
    <cellStyle name="百分比 4 3 5 6 2 2" xfId="6435"/>
    <cellStyle name="百分比 4 3 5 6 2 3" xfId="6436"/>
    <cellStyle name="百分比 4 3 5 6 2 4" xfId="6437"/>
    <cellStyle name="百分比 4 3 5 6 2 5" xfId="6438"/>
    <cellStyle name="百分比 4 3 5 6 2 6" xfId="6439"/>
    <cellStyle name="百分比 4 3 5 6 3" xfId="6440"/>
    <cellStyle name="百分比 4 3 5 6 4" xfId="6441"/>
    <cellStyle name="百分比 4 3 5 6 5" xfId="6442"/>
    <cellStyle name="百分比 4 3 5 6 6" xfId="6443"/>
    <cellStyle name="百分比 4 3 5 6 7" xfId="6444"/>
    <cellStyle name="百分比 4 3 5 7" xfId="6445"/>
    <cellStyle name="百分比 4 3 5 7 2" xfId="6446"/>
    <cellStyle name="百分比 4 3 5 7 2 2" xfId="6447"/>
    <cellStyle name="百分比 4 3 5 7 2 3" xfId="6448"/>
    <cellStyle name="百分比 4 3 5 7 2 4" xfId="6449"/>
    <cellStyle name="百分比 4 3 5 7 2 5" xfId="6450"/>
    <cellStyle name="百分比 4 3 5 7 2 6" xfId="6451"/>
    <cellStyle name="百分比 4 3 5 7 3" xfId="6452"/>
    <cellStyle name="百分比 4 3 5 7 4" xfId="6453"/>
    <cellStyle name="百分比 4 3 5 7 5" xfId="6454"/>
    <cellStyle name="百分比 4 3 5 7 6" xfId="6455"/>
    <cellStyle name="百分比 4 3 5 7 7" xfId="6456"/>
    <cellStyle name="百分比 4 3 5 8" xfId="6457"/>
    <cellStyle name="百分比 4 3 5 8 2" xfId="6458"/>
    <cellStyle name="百分比 4 3 5 8 2 2" xfId="6459"/>
    <cellStyle name="百分比 4 3 5 8 2 3" xfId="6460"/>
    <cellStyle name="百分比 4 3 5 8 2 4" xfId="6461"/>
    <cellStyle name="百分比 4 3 5 8 2 5" xfId="6462"/>
    <cellStyle name="百分比 4 3 5 8 2 6" xfId="6463"/>
    <cellStyle name="百分比 4 3 5 8 3" xfId="6464"/>
    <cellStyle name="百分比 4 3 5 8 4" xfId="6465"/>
    <cellStyle name="百分比 4 3 5 8 5" xfId="6466"/>
    <cellStyle name="百分比 4 3 5 8 6" xfId="6467"/>
    <cellStyle name="百分比 4 3 5 8 7" xfId="6468"/>
    <cellStyle name="百分比 4 3 5 9" xfId="6469"/>
    <cellStyle name="百分比 4 3 5 9 2" xfId="6470"/>
    <cellStyle name="百分比 4 3 5 9 3" xfId="6471"/>
    <cellStyle name="百分比 4 3 5 9 4" xfId="6472"/>
    <cellStyle name="百分比 4 3 5 9 5" xfId="6473"/>
    <cellStyle name="百分比 4 3 5 9 6" xfId="6474"/>
    <cellStyle name="百分比 4 3 6" xfId="6475"/>
    <cellStyle name="百分比 4 3 6 10" xfId="6476"/>
    <cellStyle name="百分比 4 3 6 11" xfId="6477"/>
    <cellStyle name="百分比 4 3 6 12" xfId="6478"/>
    <cellStyle name="百分比 4 3 6 13" xfId="6479"/>
    <cellStyle name="百分比 4 3 6 14" xfId="6480"/>
    <cellStyle name="百分比 4 3 6 2" xfId="6481"/>
    <cellStyle name="百分比 4 3 6 2 2" xfId="6482"/>
    <cellStyle name="百分比 4 3 6 2 2 2" xfId="6483"/>
    <cellStyle name="百分比 4 3 6 2 2 3" xfId="6484"/>
    <cellStyle name="百分比 4 3 6 2 2 4" xfId="6485"/>
    <cellStyle name="百分比 4 3 6 2 2 5" xfId="6486"/>
    <cellStyle name="百分比 4 3 6 2 2 6" xfId="6487"/>
    <cellStyle name="百分比 4 3 6 2 3" xfId="6488"/>
    <cellStyle name="百分比 4 3 6 2 4" xfId="6489"/>
    <cellStyle name="百分比 4 3 6 2 5" xfId="6490"/>
    <cellStyle name="百分比 4 3 6 2 6" xfId="6491"/>
    <cellStyle name="百分比 4 3 6 2 7" xfId="6492"/>
    <cellStyle name="百分比 4 3 6 3" xfId="6493"/>
    <cellStyle name="百分比 4 3 6 3 2" xfId="6494"/>
    <cellStyle name="百分比 4 3 6 3 2 2" xfId="6495"/>
    <cellStyle name="百分比 4 3 6 3 2 3" xfId="6496"/>
    <cellStyle name="百分比 4 3 6 3 2 4" xfId="6497"/>
    <cellStyle name="百分比 4 3 6 3 2 5" xfId="6498"/>
    <cellStyle name="百分比 4 3 6 3 2 6" xfId="6499"/>
    <cellStyle name="百分比 4 3 6 3 3" xfId="6500"/>
    <cellStyle name="百分比 4 3 6 3 4" xfId="6501"/>
    <cellStyle name="百分比 4 3 6 3 5" xfId="6502"/>
    <cellStyle name="百分比 4 3 6 3 6" xfId="6503"/>
    <cellStyle name="百分比 4 3 6 3 7" xfId="6504"/>
    <cellStyle name="百分比 4 3 6 4" xfId="6505"/>
    <cellStyle name="百分比 4 3 6 4 2" xfId="6506"/>
    <cellStyle name="百分比 4 3 6 4 2 2" xfId="6507"/>
    <cellStyle name="百分比 4 3 6 4 2 3" xfId="6508"/>
    <cellStyle name="百分比 4 3 6 4 2 4" xfId="6509"/>
    <cellStyle name="百分比 4 3 6 4 2 5" xfId="6510"/>
    <cellStyle name="百分比 4 3 6 4 2 6" xfId="6511"/>
    <cellStyle name="百分比 4 3 6 4 3" xfId="6512"/>
    <cellStyle name="百分比 4 3 6 4 4" xfId="6513"/>
    <cellStyle name="百分比 4 3 6 4 5" xfId="6514"/>
    <cellStyle name="百分比 4 3 6 4 6" xfId="6515"/>
    <cellStyle name="百分比 4 3 6 4 7" xfId="6516"/>
    <cellStyle name="百分比 4 3 6 5" xfId="6517"/>
    <cellStyle name="百分比 4 3 6 5 2" xfId="6518"/>
    <cellStyle name="百分比 4 3 6 5 2 2" xfId="6519"/>
    <cellStyle name="百分比 4 3 6 5 2 3" xfId="6520"/>
    <cellStyle name="百分比 4 3 6 5 2 4" xfId="6521"/>
    <cellStyle name="百分比 4 3 6 5 2 5" xfId="6522"/>
    <cellStyle name="百分比 4 3 6 5 2 6" xfId="6523"/>
    <cellStyle name="百分比 4 3 6 5 3" xfId="6524"/>
    <cellStyle name="百分比 4 3 6 5 4" xfId="6525"/>
    <cellStyle name="百分比 4 3 6 5 5" xfId="6526"/>
    <cellStyle name="百分比 4 3 6 5 6" xfId="6527"/>
    <cellStyle name="百分比 4 3 6 5 7" xfId="6528"/>
    <cellStyle name="百分比 4 3 6 6" xfId="6529"/>
    <cellStyle name="百分比 4 3 6 6 2" xfId="6530"/>
    <cellStyle name="百分比 4 3 6 6 2 2" xfId="6531"/>
    <cellStyle name="百分比 4 3 6 6 2 3" xfId="6532"/>
    <cellStyle name="百分比 4 3 6 6 2 4" xfId="6533"/>
    <cellStyle name="百分比 4 3 6 6 2 5" xfId="6534"/>
    <cellStyle name="百分比 4 3 6 6 2 6" xfId="6535"/>
    <cellStyle name="百分比 4 3 6 6 3" xfId="6536"/>
    <cellStyle name="百分比 4 3 6 6 4" xfId="6537"/>
    <cellStyle name="百分比 4 3 6 6 5" xfId="6538"/>
    <cellStyle name="百分比 4 3 6 6 6" xfId="6539"/>
    <cellStyle name="百分比 4 3 6 6 7" xfId="6540"/>
    <cellStyle name="百分比 4 3 6 7" xfId="6541"/>
    <cellStyle name="百分比 4 3 6 7 2" xfId="6542"/>
    <cellStyle name="百分比 4 3 6 7 2 2" xfId="6543"/>
    <cellStyle name="百分比 4 3 6 7 2 3" xfId="6544"/>
    <cellStyle name="百分比 4 3 6 7 2 4" xfId="6545"/>
    <cellStyle name="百分比 4 3 6 7 2 5" xfId="6546"/>
    <cellStyle name="百分比 4 3 6 7 2 6" xfId="6547"/>
    <cellStyle name="百分比 4 3 6 7 3" xfId="6548"/>
    <cellStyle name="百分比 4 3 6 7 4" xfId="6549"/>
    <cellStyle name="百分比 4 3 6 7 5" xfId="6550"/>
    <cellStyle name="百分比 4 3 6 7 6" xfId="6551"/>
    <cellStyle name="百分比 4 3 6 7 7" xfId="6552"/>
    <cellStyle name="百分比 4 3 6 8" xfId="6553"/>
    <cellStyle name="百分比 4 3 6 8 2" xfId="6554"/>
    <cellStyle name="百分比 4 3 6 8 3" xfId="6555"/>
    <cellStyle name="百分比 4 3 6 8 4" xfId="6556"/>
    <cellStyle name="百分比 4 3 6 8 5" xfId="6557"/>
    <cellStyle name="百分比 4 3 6 8 6" xfId="6558"/>
    <cellStyle name="百分比 4 3 6 9" xfId="6559"/>
    <cellStyle name="百分比 4 3 7" xfId="6560"/>
    <cellStyle name="百分比 4 3 7 10" xfId="6561"/>
    <cellStyle name="百分比 4 3 7 11" xfId="6562"/>
    <cellStyle name="百分比 4 3 7 12" xfId="6563"/>
    <cellStyle name="百分比 4 3 7 13" xfId="6564"/>
    <cellStyle name="百分比 4 3 7 2" xfId="6565"/>
    <cellStyle name="百分比 4 3 7 2 2" xfId="6566"/>
    <cellStyle name="百分比 4 3 7 2 2 2" xfId="6567"/>
    <cellStyle name="百分比 4 3 7 2 2 3" xfId="6568"/>
    <cellStyle name="百分比 4 3 7 2 2 4" xfId="6569"/>
    <cellStyle name="百分比 4 3 7 2 2 5" xfId="6570"/>
    <cellStyle name="百分比 4 3 7 2 2 6" xfId="6571"/>
    <cellStyle name="百分比 4 3 7 2 3" xfId="6572"/>
    <cellStyle name="百分比 4 3 7 2 4" xfId="6573"/>
    <cellStyle name="百分比 4 3 7 2 5" xfId="6574"/>
    <cellStyle name="百分比 4 3 7 2 6" xfId="6575"/>
    <cellStyle name="百分比 4 3 7 2 7" xfId="6576"/>
    <cellStyle name="百分比 4 3 7 3" xfId="6577"/>
    <cellStyle name="百分比 4 3 7 3 2" xfId="6578"/>
    <cellStyle name="百分比 4 3 7 3 2 2" xfId="6579"/>
    <cellStyle name="百分比 4 3 7 3 2 3" xfId="6580"/>
    <cellStyle name="百分比 4 3 7 3 2 4" xfId="6581"/>
    <cellStyle name="百分比 4 3 7 3 2 5" xfId="6582"/>
    <cellStyle name="百分比 4 3 7 3 2 6" xfId="6583"/>
    <cellStyle name="百分比 4 3 7 3 3" xfId="6584"/>
    <cellStyle name="百分比 4 3 7 3 4" xfId="6585"/>
    <cellStyle name="百分比 4 3 7 3 5" xfId="6586"/>
    <cellStyle name="百分比 4 3 7 3 6" xfId="6587"/>
    <cellStyle name="百分比 4 3 7 3 7" xfId="6588"/>
    <cellStyle name="百分比 4 3 7 4" xfId="6589"/>
    <cellStyle name="百分比 4 3 7 4 2" xfId="6590"/>
    <cellStyle name="百分比 4 3 7 4 2 2" xfId="6591"/>
    <cellStyle name="百分比 4 3 7 4 2 3" xfId="6592"/>
    <cellStyle name="百分比 4 3 7 4 2 4" xfId="6593"/>
    <cellStyle name="百分比 4 3 7 4 2 5" xfId="6594"/>
    <cellStyle name="百分比 4 3 7 4 2 6" xfId="6595"/>
    <cellStyle name="百分比 4 3 7 4 3" xfId="6596"/>
    <cellStyle name="百分比 4 3 7 4 4" xfId="6597"/>
    <cellStyle name="百分比 4 3 7 4 5" xfId="6598"/>
    <cellStyle name="百分比 4 3 7 4 6" xfId="6599"/>
    <cellStyle name="百分比 4 3 7 4 7" xfId="6600"/>
    <cellStyle name="百分比 4 3 7 5" xfId="6601"/>
    <cellStyle name="百分比 4 3 7 5 2" xfId="6602"/>
    <cellStyle name="百分比 4 3 7 5 2 2" xfId="6603"/>
    <cellStyle name="百分比 4 3 7 5 2 3" xfId="6604"/>
    <cellStyle name="百分比 4 3 7 5 2 4" xfId="6605"/>
    <cellStyle name="百分比 4 3 7 5 2 5" xfId="6606"/>
    <cellStyle name="百分比 4 3 7 5 2 6" xfId="6607"/>
    <cellStyle name="百分比 4 3 7 5 3" xfId="6608"/>
    <cellStyle name="百分比 4 3 7 5 4" xfId="6609"/>
    <cellStyle name="百分比 4 3 7 5 5" xfId="6610"/>
    <cellStyle name="百分比 4 3 7 5 6" xfId="6611"/>
    <cellStyle name="百分比 4 3 7 5 7" xfId="6612"/>
    <cellStyle name="百分比 4 3 7 6" xfId="6613"/>
    <cellStyle name="百分比 4 3 7 6 2" xfId="6614"/>
    <cellStyle name="百分比 4 3 7 6 2 2" xfId="6615"/>
    <cellStyle name="百分比 4 3 7 6 2 3" xfId="6616"/>
    <cellStyle name="百分比 4 3 7 6 2 4" xfId="6617"/>
    <cellStyle name="百分比 4 3 7 6 2 5" xfId="6618"/>
    <cellStyle name="百分比 4 3 7 6 2 6" xfId="6619"/>
    <cellStyle name="百分比 4 3 7 6 3" xfId="6620"/>
    <cellStyle name="百分比 4 3 7 6 4" xfId="6621"/>
    <cellStyle name="百分比 4 3 7 6 5" xfId="6622"/>
    <cellStyle name="百分比 4 3 7 6 6" xfId="6623"/>
    <cellStyle name="百分比 4 3 7 6 7" xfId="6624"/>
    <cellStyle name="百分比 4 3 7 7" xfId="6625"/>
    <cellStyle name="百分比 4 3 7 7 2" xfId="6626"/>
    <cellStyle name="百分比 4 3 7 7 3" xfId="6627"/>
    <cellStyle name="百分比 4 3 7 7 4" xfId="6628"/>
    <cellStyle name="百分比 4 3 7 7 5" xfId="6629"/>
    <cellStyle name="百分比 4 3 7 7 6" xfId="6630"/>
    <cellStyle name="百分比 4 3 7 8" xfId="6631"/>
    <cellStyle name="百分比 4 3 7 9" xfId="6632"/>
    <cellStyle name="百分比 4 3 8" xfId="6633"/>
    <cellStyle name="百分比 4 3 8 10" xfId="6634"/>
    <cellStyle name="百分比 4 3 8 11" xfId="6635"/>
    <cellStyle name="百分比 4 3 8 2" xfId="6636"/>
    <cellStyle name="百分比 4 3 8 2 2" xfId="6637"/>
    <cellStyle name="百分比 4 3 8 2 2 2" xfId="6638"/>
    <cellStyle name="百分比 4 3 8 2 2 3" xfId="6639"/>
    <cellStyle name="百分比 4 3 8 2 2 4" xfId="6640"/>
    <cellStyle name="百分比 4 3 8 2 2 5" xfId="6641"/>
    <cellStyle name="百分比 4 3 8 2 2 6" xfId="6642"/>
    <cellStyle name="百分比 4 3 8 2 3" xfId="6643"/>
    <cellStyle name="百分比 4 3 8 2 4" xfId="6644"/>
    <cellStyle name="百分比 4 3 8 2 5" xfId="6645"/>
    <cellStyle name="百分比 4 3 8 2 6" xfId="6646"/>
    <cellStyle name="百分比 4 3 8 2 7" xfId="6647"/>
    <cellStyle name="百分比 4 3 8 3" xfId="6648"/>
    <cellStyle name="百分比 4 3 8 3 2" xfId="6649"/>
    <cellStyle name="百分比 4 3 8 3 2 2" xfId="6650"/>
    <cellStyle name="百分比 4 3 8 3 2 3" xfId="6651"/>
    <cellStyle name="百分比 4 3 8 3 2 4" xfId="6652"/>
    <cellStyle name="百分比 4 3 8 3 2 5" xfId="6653"/>
    <cellStyle name="百分比 4 3 8 3 2 6" xfId="6654"/>
    <cellStyle name="百分比 4 3 8 3 3" xfId="6655"/>
    <cellStyle name="百分比 4 3 8 3 4" xfId="6656"/>
    <cellStyle name="百分比 4 3 8 3 5" xfId="6657"/>
    <cellStyle name="百分比 4 3 8 3 6" xfId="6658"/>
    <cellStyle name="百分比 4 3 8 3 7" xfId="6659"/>
    <cellStyle name="百分比 4 3 8 4" xfId="6660"/>
    <cellStyle name="百分比 4 3 8 4 2" xfId="6661"/>
    <cellStyle name="百分比 4 3 8 4 2 2" xfId="6662"/>
    <cellStyle name="百分比 4 3 8 4 2 3" xfId="6663"/>
    <cellStyle name="百分比 4 3 8 4 2 4" xfId="6664"/>
    <cellStyle name="百分比 4 3 8 4 2 5" xfId="6665"/>
    <cellStyle name="百分比 4 3 8 4 2 6" xfId="6666"/>
    <cellStyle name="百分比 4 3 8 4 3" xfId="6667"/>
    <cellStyle name="百分比 4 3 8 4 4" xfId="6668"/>
    <cellStyle name="百分比 4 3 8 4 5" xfId="6669"/>
    <cellStyle name="百分比 4 3 8 4 6" xfId="6670"/>
    <cellStyle name="百分比 4 3 8 4 7" xfId="6671"/>
    <cellStyle name="百分比 4 3 8 5" xfId="6672"/>
    <cellStyle name="百分比 4 3 8 5 2" xfId="6673"/>
    <cellStyle name="百分比 4 3 8 5 2 2" xfId="6674"/>
    <cellStyle name="百分比 4 3 8 5 2 3" xfId="6675"/>
    <cellStyle name="百分比 4 3 8 5 2 4" xfId="6676"/>
    <cellStyle name="百分比 4 3 8 5 2 5" xfId="6677"/>
    <cellStyle name="百分比 4 3 8 5 2 6" xfId="6678"/>
    <cellStyle name="百分比 4 3 8 5 3" xfId="6679"/>
    <cellStyle name="百分比 4 3 8 5 4" xfId="6680"/>
    <cellStyle name="百分比 4 3 8 5 5" xfId="6681"/>
    <cellStyle name="百分比 4 3 8 5 6" xfId="6682"/>
    <cellStyle name="百分比 4 3 8 5 7" xfId="6683"/>
    <cellStyle name="百分比 4 3 8 6" xfId="6684"/>
    <cellStyle name="百分比 4 3 8 6 2" xfId="6685"/>
    <cellStyle name="百分比 4 3 8 6 3" xfId="6686"/>
    <cellStyle name="百分比 4 3 8 6 4" xfId="6687"/>
    <cellStyle name="百分比 4 3 8 6 5" xfId="6688"/>
    <cellStyle name="百分比 4 3 8 6 6" xfId="6689"/>
    <cellStyle name="百分比 4 3 8 7" xfId="6690"/>
    <cellStyle name="百分比 4 3 8 8" xfId="6691"/>
    <cellStyle name="百分比 4 3 8 9" xfId="6692"/>
    <cellStyle name="百分比 4 3 9" xfId="6693"/>
    <cellStyle name="百分比 4 3 9 10" xfId="6694"/>
    <cellStyle name="百分比 4 3 9 11" xfId="6695"/>
    <cellStyle name="百分比 4 3 9 2" xfId="6696"/>
    <cellStyle name="百分比 4 3 9 2 2" xfId="6697"/>
    <cellStyle name="百分比 4 3 9 2 2 2" xfId="6698"/>
    <cellStyle name="百分比 4 3 9 2 2 3" xfId="6699"/>
    <cellStyle name="百分比 4 3 9 2 2 4" xfId="6700"/>
    <cellStyle name="百分比 4 3 9 2 2 5" xfId="6701"/>
    <cellStyle name="百分比 4 3 9 2 2 6" xfId="6702"/>
    <cellStyle name="百分比 4 3 9 2 3" xfId="6703"/>
    <cellStyle name="百分比 4 3 9 2 4" xfId="6704"/>
    <cellStyle name="百分比 4 3 9 2 5" xfId="6705"/>
    <cellStyle name="百分比 4 3 9 2 6" xfId="6706"/>
    <cellStyle name="百分比 4 3 9 2 7" xfId="6707"/>
    <cellStyle name="百分比 4 3 9 3" xfId="6708"/>
    <cellStyle name="百分比 4 3 9 3 2" xfId="6709"/>
    <cellStyle name="百分比 4 3 9 3 2 2" xfId="6710"/>
    <cellStyle name="百分比 4 3 9 3 2 3" xfId="6711"/>
    <cellStyle name="百分比 4 3 9 3 2 4" xfId="6712"/>
    <cellStyle name="百分比 4 3 9 3 2 5" xfId="6713"/>
    <cellStyle name="百分比 4 3 9 3 2 6" xfId="6714"/>
    <cellStyle name="百分比 4 3 9 3 3" xfId="6715"/>
    <cellStyle name="百分比 4 3 9 3 4" xfId="6716"/>
    <cellStyle name="百分比 4 3 9 3 5" xfId="6717"/>
    <cellStyle name="百分比 4 3 9 3 6" xfId="6718"/>
    <cellStyle name="百分比 4 3 9 3 7" xfId="6719"/>
    <cellStyle name="百分比 4 3 9 4" xfId="6720"/>
    <cellStyle name="百分比 4 3 9 4 2" xfId="6721"/>
    <cellStyle name="百分比 4 3 9 4 2 2" xfId="6722"/>
    <cellStyle name="百分比 4 3 9 4 2 3" xfId="6723"/>
    <cellStyle name="百分比 4 3 9 4 2 4" xfId="6724"/>
    <cellStyle name="百分比 4 3 9 4 2 5" xfId="6725"/>
    <cellStyle name="百分比 4 3 9 4 2 6" xfId="6726"/>
    <cellStyle name="百分比 4 3 9 4 3" xfId="6727"/>
    <cellStyle name="百分比 4 3 9 4 4" xfId="6728"/>
    <cellStyle name="百分比 4 3 9 4 5" xfId="6729"/>
    <cellStyle name="百分比 4 3 9 4 6" xfId="6730"/>
    <cellStyle name="百分比 4 3 9 4 7" xfId="6731"/>
    <cellStyle name="百分比 4 3 9 5" xfId="6732"/>
    <cellStyle name="百分比 4 3 9 5 2" xfId="6733"/>
    <cellStyle name="百分比 4 3 9 5 3" xfId="6734"/>
    <cellStyle name="百分比 4 3 9 5 4" xfId="6735"/>
    <cellStyle name="百分比 4 3 9 5 5" xfId="6736"/>
    <cellStyle name="百分比 4 3 9 5 6" xfId="6737"/>
    <cellStyle name="百分比 4 3 9 6" xfId="6738"/>
    <cellStyle name="百分比 4 3 9 7" xfId="6739"/>
    <cellStyle name="百分比 4 3 9 8" xfId="6740"/>
    <cellStyle name="百分比 4 3 9 9" xfId="6741"/>
    <cellStyle name="百分比 4 4" xfId="6742"/>
    <cellStyle name="百分比 4 4 10" xfId="6743"/>
    <cellStyle name="百分比 4 4 10 2" xfId="6744"/>
    <cellStyle name="百分比 4 4 10 2 2" xfId="6745"/>
    <cellStyle name="百分比 4 4 10 2 3" xfId="6746"/>
    <cellStyle name="百分比 4 4 10 2 4" xfId="6747"/>
    <cellStyle name="百分比 4 4 10 2 5" xfId="6748"/>
    <cellStyle name="百分比 4 4 10 2 6" xfId="6749"/>
    <cellStyle name="百分比 4 4 10 3" xfId="6750"/>
    <cellStyle name="百分比 4 4 10 4" xfId="6751"/>
    <cellStyle name="百分比 4 4 10 5" xfId="6752"/>
    <cellStyle name="百分比 4 4 10 6" xfId="6753"/>
    <cellStyle name="百分比 4 4 10 7" xfId="6754"/>
    <cellStyle name="百分比 4 4 11" xfId="6755"/>
    <cellStyle name="百分比 4 4 11 2" xfId="6756"/>
    <cellStyle name="百分比 4 4 11 2 2" xfId="6757"/>
    <cellStyle name="百分比 4 4 11 2 3" xfId="6758"/>
    <cellStyle name="百分比 4 4 11 2 4" xfId="6759"/>
    <cellStyle name="百分比 4 4 11 2 5" xfId="6760"/>
    <cellStyle name="百分比 4 4 11 2 6" xfId="6761"/>
    <cellStyle name="百分比 4 4 11 3" xfId="6762"/>
    <cellStyle name="百分比 4 4 11 4" xfId="6763"/>
    <cellStyle name="百分比 4 4 11 5" xfId="6764"/>
    <cellStyle name="百分比 4 4 11 6" xfId="6765"/>
    <cellStyle name="百分比 4 4 11 7" xfId="6766"/>
    <cellStyle name="百分比 4 4 12" xfId="6767"/>
    <cellStyle name="百分比 4 4 12 2" xfId="6768"/>
    <cellStyle name="百分比 4 4 12 2 2" xfId="6769"/>
    <cellStyle name="百分比 4 4 12 2 3" xfId="6770"/>
    <cellStyle name="百分比 4 4 12 2 4" xfId="6771"/>
    <cellStyle name="百分比 4 4 12 2 5" xfId="6772"/>
    <cellStyle name="百分比 4 4 12 2 6" xfId="6773"/>
    <cellStyle name="百分比 4 4 12 3" xfId="6774"/>
    <cellStyle name="百分比 4 4 12 4" xfId="6775"/>
    <cellStyle name="百分比 4 4 12 5" xfId="6776"/>
    <cellStyle name="百分比 4 4 12 6" xfId="6777"/>
    <cellStyle name="百分比 4 4 12 7" xfId="6778"/>
    <cellStyle name="百分比 4 4 13" xfId="6779"/>
    <cellStyle name="百分比 4 4 2" xfId="6780"/>
    <cellStyle name="百分比 4 4 2 2" xfId="6781"/>
    <cellStyle name="百分比 4 4 3" xfId="6782"/>
    <cellStyle name="百分比 4 4 3 2" xfId="6783"/>
    <cellStyle name="百分比 4 4 3 2 2" xfId="6784"/>
    <cellStyle name="百分比 4 4 3 2 3" xfId="6785"/>
    <cellStyle name="百分比 4 4 3 2 4" xfId="6786"/>
    <cellStyle name="百分比 4 4 3 2 5" xfId="6787"/>
    <cellStyle name="百分比 4 4 3 2 6" xfId="6788"/>
    <cellStyle name="百分比 4 4 3 3" xfId="6789"/>
    <cellStyle name="百分比 4 4 3 4" xfId="6790"/>
    <cellStyle name="百分比 4 4 3 5" xfId="6791"/>
    <cellStyle name="百分比 4 4 3 6" xfId="6792"/>
    <cellStyle name="百分比 4 4 3 7" xfId="6793"/>
    <cellStyle name="百分比 4 4 4" xfId="6794"/>
    <cellStyle name="百分比 4 4 4 2" xfId="6795"/>
    <cellStyle name="百分比 4 4 4 2 2" xfId="6796"/>
    <cellStyle name="百分比 4 4 4 2 3" xfId="6797"/>
    <cellStyle name="百分比 4 4 4 2 4" xfId="6798"/>
    <cellStyle name="百分比 4 4 4 2 5" xfId="6799"/>
    <cellStyle name="百分比 4 4 4 2 6" xfId="6800"/>
    <cellStyle name="百分比 4 4 4 3" xfId="6801"/>
    <cellStyle name="百分比 4 4 4 4" xfId="6802"/>
    <cellStyle name="百分比 4 4 4 5" xfId="6803"/>
    <cellStyle name="百分比 4 4 4 6" xfId="6804"/>
    <cellStyle name="百分比 4 4 4 7" xfId="6805"/>
    <cellStyle name="百分比 4 4 5" xfId="6806"/>
    <cellStyle name="百分比 4 4 5 2" xfId="6807"/>
    <cellStyle name="百分比 4 4 5 2 2" xfId="6808"/>
    <cellStyle name="百分比 4 4 5 2 3" xfId="6809"/>
    <cellStyle name="百分比 4 4 5 2 4" xfId="6810"/>
    <cellStyle name="百分比 4 4 5 2 5" xfId="6811"/>
    <cellStyle name="百分比 4 4 5 2 6" xfId="6812"/>
    <cellStyle name="百分比 4 4 5 3" xfId="6813"/>
    <cellStyle name="百分比 4 4 5 4" xfId="6814"/>
    <cellStyle name="百分比 4 4 5 5" xfId="6815"/>
    <cellStyle name="百分比 4 4 5 6" xfId="6816"/>
    <cellStyle name="百分比 4 4 5 7" xfId="6817"/>
    <cellStyle name="百分比 4 4 6" xfId="6818"/>
    <cellStyle name="百分比 4 4 6 2" xfId="6819"/>
    <cellStyle name="百分比 4 4 6 2 2" xfId="6820"/>
    <cellStyle name="百分比 4 4 6 2 3" xfId="6821"/>
    <cellStyle name="百分比 4 4 6 2 4" xfId="6822"/>
    <cellStyle name="百分比 4 4 6 2 5" xfId="6823"/>
    <cellStyle name="百分比 4 4 6 2 6" xfId="6824"/>
    <cellStyle name="百分比 4 4 6 3" xfId="6825"/>
    <cellStyle name="百分比 4 4 6 4" xfId="6826"/>
    <cellStyle name="百分比 4 4 6 5" xfId="6827"/>
    <cellStyle name="百分比 4 4 6 6" xfId="6828"/>
    <cellStyle name="百分比 4 4 6 7" xfId="6829"/>
    <cellStyle name="百分比 4 4 7" xfId="6830"/>
    <cellStyle name="百分比 4 4 7 2" xfId="6831"/>
    <cellStyle name="百分比 4 4 7 2 2" xfId="6832"/>
    <cellStyle name="百分比 4 4 7 2 3" xfId="6833"/>
    <cellStyle name="百分比 4 4 7 2 4" xfId="6834"/>
    <cellStyle name="百分比 4 4 7 2 5" xfId="6835"/>
    <cellStyle name="百分比 4 4 7 2 6" xfId="6836"/>
    <cellStyle name="百分比 4 4 7 3" xfId="6837"/>
    <cellStyle name="百分比 4 4 7 4" xfId="6838"/>
    <cellStyle name="百分比 4 4 7 5" xfId="6839"/>
    <cellStyle name="百分比 4 4 7 6" xfId="6840"/>
    <cellStyle name="百分比 4 4 7 7" xfId="6841"/>
    <cellStyle name="百分比 4 4 8" xfId="6842"/>
    <cellStyle name="百分比 4 4 8 2" xfId="6843"/>
    <cellStyle name="百分比 4 4 8 2 2" xfId="6844"/>
    <cellStyle name="百分比 4 4 8 2 3" xfId="6845"/>
    <cellStyle name="百分比 4 4 8 2 4" xfId="6846"/>
    <cellStyle name="百分比 4 4 8 2 5" xfId="6847"/>
    <cellStyle name="百分比 4 4 8 2 6" xfId="6848"/>
    <cellStyle name="百分比 4 4 8 3" xfId="6849"/>
    <cellStyle name="百分比 4 4 8 4" xfId="6850"/>
    <cellStyle name="百分比 4 4 8 5" xfId="6851"/>
    <cellStyle name="百分比 4 4 8 6" xfId="6852"/>
    <cellStyle name="百分比 4 4 8 7" xfId="6853"/>
    <cellStyle name="百分比 4 4 9" xfId="6854"/>
    <cellStyle name="百分比 4 4 9 2" xfId="6855"/>
    <cellStyle name="百分比 4 4 9 2 2" xfId="6856"/>
    <cellStyle name="百分比 4 4 9 2 3" xfId="6857"/>
    <cellStyle name="百分比 4 4 9 2 4" xfId="6858"/>
    <cellStyle name="百分比 4 4 9 2 5" xfId="6859"/>
    <cellStyle name="百分比 4 4 9 2 6" xfId="6860"/>
    <cellStyle name="百分比 4 4 9 3" xfId="6861"/>
    <cellStyle name="百分比 4 4 9 4" xfId="6862"/>
    <cellStyle name="百分比 4 4 9 5" xfId="6863"/>
    <cellStyle name="百分比 4 4 9 6" xfId="6864"/>
    <cellStyle name="百分比 4 4 9 7" xfId="6865"/>
    <cellStyle name="百分比 4 5" xfId="6866"/>
    <cellStyle name="百分比 4 5 10" xfId="6867"/>
    <cellStyle name="百分比 4 5 10 2" xfId="6868"/>
    <cellStyle name="百分比 4 5 10 2 2" xfId="6869"/>
    <cellStyle name="百分比 4 5 10 2 3" xfId="6870"/>
    <cellStyle name="百分比 4 5 10 2 4" xfId="6871"/>
    <cellStyle name="百分比 4 5 10 2 5" xfId="6872"/>
    <cellStyle name="百分比 4 5 10 2 6" xfId="6873"/>
    <cellStyle name="百分比 4 5 10 3" xfId="6874"/>
    <cellStyle name="百分比 4 5 10 4" xfId="6875"/>
    <cellStyle name="百分比 4 5 10 5" xfId="6876"/>
    <cellStyle name="百分比 4 5 10 6" xfId="6877"/>
    <cellStyle name="百分比 4 5 10 7" xfId="6878"/>
    <cellStyle name="百分比 4 5 2" xfId="6879"/>
    <cellStyle name="百分比 4 5 2 2" xfId="6880"/>
    <cellStyle name="百分比 4 5 2 2 2" xfId="6881"/>
    <cellStyle name="百分比 4 5 2 2 2 2" xfId="6882"/>
    <cellStyle name="百分比 4 5 2 2 3" xfId="6883"/>
    <cellStyle name="百分比 4 5 2 2 3 2" xfId="6884"/>
    <cellStyle name="百分比 4 5 2 2 4" xfId="6885"/>
    <cellStyle name="百分比 4 5 2 2 5" xfId="6886"/>
    <cellStyle name="百分比 4 5 2 2 6" xfId="6887"/>
    <cellStyle name="百分比 4 5 2 2 7" xfId="6888"/>
    <cellStyle name="百分比 4 5 2 3" xfId="6889"/>
    <cellStyle name="百分比 4 5 2 3 2" xfId="6890"/>
    <cellStyle name="百分比 4 5 2 3 2 2" xfId="6891"/>
    <cellStyle name="百分比 4 5 2 3 3" xfId="6892"/>
    <cellStyle name="百分比 4 5 2 3 4" xfId="6893"/>
    <cellStyle name="百分比 4 5 2 3 5" xfId="6894"/>
    <cellStyle name="百分比 4 5 2 4" xfId="6895"/>
    <cellStyle name="百分比 4 5 2 4 2" xfId="6896"/>
    <cellStyle name="百分比 4 5 2 5" xfId="6897"/>
    <cellStyle name="百分比 4 5 2 5 2" xfId="6898"/>
    <cellStyle name="百分比 4 5 2 6" xfId="6899"/>
    <cellStyle name="百分比 4 5 2 7" xfId="6900"/>
    <cellStyle name="百分比 4 5 2 8" xfId="6901"/>
    <cellStyle name="百分比 4 5 3" xfId="6902"/>
    <cellStyle name="百分比 4 5 3 2" xfId="6903"/>
    <cellStyle name="百分比 4 5 3 2 2" xfId="6904"/>
    <cellStyle name="百分比 4 5 3 2 3" xfId="6905"/>
    <cellStyle name="百分比 4 5 3 2 4" xfId="6906"/>
    <cellStyle name="百分比 4 5 3 2 5" xfId="6907"/>
    <cellStyle name="百分比 4 5 3 2 6" xfId="6908"/>
    <cellStyle name="百分比 4 5 3 2 7" xfId="6909"/>
    <cellStyle name="百分比 4 5 3 3" xfId="6910"/>
    <cellStyle name="百分比 4 5 3 3 2" xfId="6911"/>
    <cellStyle name="百分比 4 5 3 4" xfId="6912"/>
    <cellStyle name="百分比 4 5 3 5" xfId="6913"/>
    <cellStyle name="百分比 4 5 3 6" xfId="6914"/>
    <cellStyle name="百分比 4 5 3 7" xfId="6915"/>
    <cellStyle name="百分比 4 5 3 8" xfId="6916"/>
    <cellStyle name="百分比 4 5 4" xfId="6917"/>
    <cellStyle name="百分比 4 5 4 2" xfId="6918"/>
    <cellStyle name="百分比 4 5 4 2 2" xfId="6919"/>
    <cellStyle name="百分比 4 5 4 2 3" xfId="6920"/>
    <cellStyle name="百分比 4 5 4 2 4" xfId="6921"/>
    <cellStyle name="百分比 4 5 4 2 5" xfId="6922"/>
    <cellStyle name="百分比 4 5 4 2 6" xfId="6923"/>
    <cellStyle name="百分比 4 5 4 2 7" xfId="6924"/>
    <cellStyle name="百分比 4 5 4 3" xfId="6925"/>
    <cellStyle name="百分比 4 5 4 3 2" xfId="6926"/>
    <cellStyle name="百分比 4 5 4 4" xfId="6927"/>
    <cellStyle name="百分比 4 5 4 5" xfId="6928"/>
    <cellStyle name="百分比 4 5 4 6" xfId="6929"/>
    <cellStyle name="百分比 4 5 4 7" xfId="6930"/>
    <cellStyle name="百分比 4 5 4 8" xfId="6931"/>
    <cellStyle name="百分比 4 5 5" xfId="6932"/>
    <cellStyle name="百分比 4 5 5 2" xfId="6933"/>
    <cellStyle name="百分比 4 5 5 2 2" xfId="6934"/>
    <cellStyle name="百分比 4 5 5 2 3" xfId="6935"/>
    <cellStyle name="百分比 4 5 5 2 4" xfId="6936"/>
    <cellStyle name="百分比 4 5 5 2 5" xfId="6937"/>
    <cellStyle name="百分比 4 5 5 2 6" xfId="6938"/>
    <cellStyle name="百分比 4 5 5 3" xfId="6939"/>
    <cellStyle name="百分比 4 5 5 4" xfId="6940"/>
    <cellStyle name="百分比 4 5 5 5" xfId="6941"/>
    <cellStyle name="百分比 4 5 5 6" xfId="6942"/>
    <cellStyle name="百分比 4 5 5 7" xfId="6943"/>
    <cellStyle name="百分比 4 5 5 8" xfId="6944"/>
    <cellStyle name="百分比 4 5 6" xfId="6945"/>
    <cellStyle name="百分比 4 5 6 2" xfId="6946"/>
    <cellStyle name="百分比 4 5 6 2 2" xfId="6947"/>
    <cellStyle name="百分比 4 5 6 2 3" xfId="6948"/>
    <cellStyle name="百分比 4 5 6 2 4" xfId="6949"/>
    <cellStyle name="百分比 4 5 6 2 5" xfId="6950"/>
    <cellStyle name="百分比 4 5 6 2 6" xfId="6951"/>
    <cellStyle name="百分比 4 5 6 3" xfId="6952"/>
    <cellStyle name="百分比 4 5 6 4" xfId="6953"/>
    <cellStyle name="百分比 4 5 6 5" xfId="6954"/>
    <cellStyle name="百分比 4 5 6 6" xfId="6955"/>
    <cellStyle name="百分比 4 5 6 7" xfId="6956"/>
    <cellStyle name="百分比 4 5 6 8" xfId="6957"/>
    <cellStyle name="百分比 4 5 7" xfId="6958"/>
    <cellStyle name="百分比 4 5 7 2" xfId="6959"/>
    <cellStyle name="百分比 4 5 7 2 2" xfId="6960"/>
    <cellStyle name="百分比 4 5 7 2 3" xfId="6961"/>
    <cellStyle name="百分比 4 5 7 2 4" xfId="6962"/>
    <cellStyle name="百分比 4 5 7 2 5" xfId="6963"/>
    <cellStyle name="百分比 4 5 7 2 6" xfId="6964"/>
    <cellStyle name="百分比 4 5 7 3" xfId="6965"/>
    <cellStyle name="百分比 4 5 7 4" xfId="6966"/>
    <cellStyle name="百分比 4 5 7 5" xfId="6967"/>
    <cellStyle name="百分比 4 5 7 6" xfId="6968"/>
    <cellStyle name="百分比 4 5 7 7" xfId="6969"/>
    <cellStyle name="百分比 4 5 8" xfId="6970"/>
    <cellStyle name="百分比 4 5 8 2" xfId="6971"/>
    <cellStyle name="百分比 4 5 8 2 2" xfId="6972"/>
    <cellStyle name="百分比 4 5 8 2 3" xfId="6973"/>
    <cellStyle name="百分比 4 5 8 2 4" xfId="6974"/>
    <cellStyle name="百分比 4 5 8 2 5" xfId="6975"/>
    <cellStyle name="百分比 4 5 8 2 6" xfId="6976"/>
    <cellStyle name="百分比 4 5 8 3" xfId="6977"/>
    <cellStyle name="百分比 4 5 8 4" xfId="6978"/>
    <cellStyle name="百分比 4 5 8 5" xfId="6979"/>
    <cellStyle name="百分比 4 5 8 6" xfId="6980"/>
    <cellStyle name="百分比 4 5 8 7" xfId="6981"/>
    <cellStyle name="百分比 4 5 8 8" xfId="6982"/>
    <cellStyle name="百分比 4 5 9" xfId="6983"/>
    <cellStyle name="百分比 4 5 9 2" xfId="6984"/>
    <cellStyle name="百分比 4 5 9 2 2" xfId="6985"/>
    <cellStyle name="百分比 4 5 9 2 3" xfId="6986"/>
    <cellStyle name="百分比 4 5 9 2 4" xfId="6987"/>
    <cellStyle name="百分比 4 5 9 2 5" xfId="6988"/>
    <cellStyle name="百分比 4 5 9 2 6" xfId="6989"/>
    <cellStyle name="百分比 4 5 9 3" xfId="6990"/>
    <cellStyle name="百分比 4 5 9 4" xfId="6991"/>
    <cellStyle name="百分比 4 5 9 5" xfId="6992"/>
    <cellStyle name="百分比 4 5 9 6" xfId="6993"/>
    <cellStyle name="百分比 4 5 9 7" xfId="6994"/>
    <cellStyle name="百分比 4 6" xfId="6995"/>
    <cellStyle name="百分比 4 6 10" xfId="6996"/>
    <cellStyle name="百分比 4 6 10 2" xfId="6997"/>
    <cellStyle name="百分比 4 6 10 3" xfId="6998"/>
    <cellStyle name="百分比 4 6 10 4" xfId="6999"/>
    <cellStyle name="百分比 4 6 10 5" xfId="7000"/>
    <cellStyle name="百分比 4 6 10 6" xfId="7001"/>
    <cellStyle name="百分比 4 6 11" xfId="7002"/>
    <cellStyle name="百分比 4 6 12" xfId="7003"/>
    <cellStyle name="百分比 4 6 13" xfId="7004"/>
    <cellStyle name="百分比 4 6 14" xfId="7005"/>
    <cellStyle name="百分比 4 6 15" xfId="7006"/>
    <cellStyle name="百分比 4 6 16" xfId="7007"/>
    <cellStyle name="百分比 4 6 2" xfId="7008"/>
    <cellStyle name="百分比 4 6 2 2" xfId="7009"/>
    <cellStyle name="百分比 4 6 2 2 2" xfId="7010"/>
    <cellStyle name="百分比 4 6 2 2 2 2" xfId="7011"/>
    <cellStyle name="百分比 4 6 2 2 3" xfId="7012"/>
    <cellStyle name="百分比 4 6 2 2 3 2" xfId="7013"/>
    <cellStyle name="百分比 4 6 2 2 4" xfId="7014"/>
    <cellStyle name="百分比 4 6 2 2 5" xfId="7015"/>
    <cellStyle name="百分比 4 6 2 2 6" xfId="7016"/>
    <cellStyle name="百分比 4 6 2 2 7" xfId="7017"/>
    <cellStyle name="百分比 4 6 2 3" xfId="7018"/>
    <cellStyle name="百分比 4 6 2 3 2" xfId="7019"/>
    <cellStyle name="百分比 4 6 2 4" xfId="7020"/>
    <cellStyle name="百分比 4 6 2 4 2" xfId="7021"/>
    <cellStyle name="百分比 4 6 2 5" xfId="7022"/>
    <cellStyle name="百分比 4 6 2 6" xfId="7023"/>
    <cellStyle name="百分比 4 6 2 7" xfId="7024"/>
    <cellStyle name="百分比 4 6 2 8" xfId="7025"/>
    <cellStyle name="百分比 4 6 3" xfId="7026"/>
    <cellStyle name="百分比 4 6 3 2" xfId="7027"/>
    <cellStyle name="百分比 4 6 3 2 2" xfId="7028"/>
    <cellStyle name="百分比 4 6 3 2 3" xfId="7029"/>
    <cellStyle name="百分比 4 6 3 2 4" xfId="7030"/>
    <cellStyle name="百分比 4 6 3 2 5" xfId="7031"/>
    <cellStyle name="百分比 4 6 3 2 6" xfId="7032"/>
    <cellStyle name="百分比 4 6 3 2 7" xfId="7033"/>
    <cellStyle name="百分比 4 6 3 3" xfId="7034"/>
    <cellStyle name="百分比 4 6 3 3 2" xfId="7035"/>
    <cellStyle name="百分比 4 6 3 4" xfId="7036"/>
    <cellStyle name="百分比 4 6 3 5" xfId="7037"/>
    <cellStyle name="百分比 4 6 3 6" xfId="7038"/>
    <cellStyle name="百分比 4 6 3 7" xfId="7039"/>
    <cellStyle name="百分比 4 6 3 8" xfId="7040"/>
    <cellStyle name="百分比 4 6 4" xfId="7041"/>
    <cellStyle name="百分比 4 6 4 2" xfId="7042"/>
    <cellStyle name="百分比 4 6 4 2 2" xfId="7043"/>
    <cellStyle name="百分比 4 6 4 2 3" xfId="7044"/>
    <cellStyle name="百分比 4 6 4 2 4" xfId="7045"/>
    <cellStyle name="百分比 4 6 4 2 5" xfId="7046"/>
    <cellStyle name="百分比 4 6 4 2 6" xfId="7047"/>
    <cellStyle name="百分比 4 6 4 3" xfId="7048"/>
    <cellStyle name="百分比 4 6 4 4" xfId="7049"/>
    <cellStyle name="百分比 4 6 4 5" xfId="7050"/>
    <cellStyle name="百分比 4 6 4 6" xfId="7051"/>
    <cellStyle name="百分比 4 6 4 7" xfId="7052"/>
    <cellStyle name="百分比 4 6 4 8" xfId="7053"/>
    <cellStyle name="百分比 4 6 5" xfId="7054"/>
    <cellStyle name="百分比 4 6 5 2" xfId="7055"/>
    <cellStyle name="百分比 4 6 5 2 2" xfId="7056"/>
    <cellStyle name="百分比 4 6 5 2 3" xfId="7057"/>
    <cellStyle name="百分比 4 6 5 2 4" xfId="7058"/>
    <cellStyle name="百分比 4 6 5 2 5" xfId="7059"/>
    <cellStyle name="百分比 4 6 5 2 6" xfId="7060"/>
    <cellStyle name="百分比 4 6 5 3" xfId="7061"/>
    <cellStyle name="百分比 4 6 5 4" xfId="7062"/>
    <cellStyle name="百分比 4 6 5 5" xfId="7063"/>
    <cellStyle name="百分比 4 6 5 6" xfId="7064"/>
    <cellStyle name="百分比 4 6 5 7" xfId="7065"/>
    <cellStyle name="百分比 4 6 5 8" xfId="7066"/>
    <cellStyle name="百分比 4 6 6" xfId="7067"/>
    <cellStyle name="百分比 4 6 6 2" xfId="7068"/>
    <cellStyle name="百分比 4 6 6 2 2" xfId="7069"/>
    <cellStyle name="百分比 4 6 6 2 3" xfId="7070"/>
    <cellStyle name="百分比 4 6 6 2 4" xfId="7071"/>
    <cellStyle name="百分比 4 6 6 2 5" xfId="7072"/>
    <cellStyle name="百分比 4 6 6 2 6" xfId="7073"/>
    <cellStyle name="百分比 4 6 6 3" xfId="7074"/>
    <cellStyle name="百分比 4 6 6 4" xfId="7075"/>
    <cellStyle name="百分比 4 6 6 5" xfId="7076"/>
    <cellStyle name="百分比 4 6 6 6" xfId="7077"/>
    <cellStyle name="百分比 4 6 6 7" xfId="7078"/>
    <cellStyle name="百分比 4 6 7" xfId="7079"/>
    <cellStyle name="百分比 4 6 7 2" xfId="7080"/>
    <cellStyle name="百分比 4 6 7 2 2" xfId="7081"/>
    <cellStyle name="百分比 4 6 7 2 3" xfId="7082"/>
    <cellStyle name="百分比 4 6 7 2 4" xfId="7083"/>
    <cellStyle name="百分比 4 6 7 2 5" xfId="7084"/>
    <cellStyle name="百分比 4 6 7 2 6" xfId="7085"/>
    <cellStyle name="百分比 4 6 7 3" xfId="7086"/>
    <cellStyle name="百分比 4 6 7 4" xfId="7087"/>
    <cellStyle name="百分比 4 6 7 5" xfId="7088"/>
    <cellStyle name="百分比 4 6 7 6" xfId="7089"/>
    <cellStyle name="百分比 4 6 7 7" xfId="7090"/>
    <cellStyle name="百分比 4 6 8" xfId="7091"/>
    <cellStyle name="百分比 4 6 8 2" xfId="7092"/>
    <cellStyle name="百分比 4 6 8 2 2" xfId="7093"/>
    <cellStyle name="百分比 4 6 8 2 3" xfId="7094"/>
    <cellStyle name="百分比 4 6 8 2 4" xfId="7095"/>
    <cellStyle name="百分比 4 6 8 2 5" xfId="7096"/>
    <cellStyle name="百分比 4 6 8 2 6" xfId="7097"/>
    <cellStyle name="百分比 4 6 8 3" xfId="7098"/>
    <cellStyle name="百分比 4 6 8 4" xfId="7099"/>
    <cellStyle name="百分比 4 6 8 5" xfId="7100"/>
    <cellStyle name="百分比 4 6 8 6" xfId="7101"/>
    <cellStyle name="百分比 4 6 8 7" xfId="7102"/>
    <cellStyle name="百分比 4 6 9" xfId="7103"/>
    <cellStyle name="百分比 4 6 9 2" xfId="7104"/>
    <cellStyle name="百分比 4 6 9 2 2" xfId="7105"/>
    <cellStyle name="百分比 4 6 9 2 3" xfId="7106"/>
    <cellStyle name="百分比 4 6 9 2 4" xfId="7107"/>
    <cellStyle name="百分比 4 6 9 2 5" xfId="7108"/>
    <cellStyle name="百分比 4 6 9 2 6" xfId="7109"/>
    <cellStyle name="百分比 4 6 9 3" xfId="7110"/>
    <cellStyle name="百分比 4 6 9 4" xfId="7111"/>
    <cellStyle name="百分比 4 6 9 5" xfId="7112"/>
    <cellStyle name="百分比 4 6 9 6" xfId="7113"/>
    <cellStyle name="百分比 4 6 9 7" xfId="7114"/>
    <cellStyle name="百分比 4 7" xfId="7115"/>
    <cellStyle name="百分比 4 7 10" xfId="7116"/>
    <cellStyle name="百分比 4 7 10 2" xfId="7117"/>
    <cellStyle name="百分比 4 7 10 3" xfId="7118"/>
    <cellStyle name="百分比 4 7 10 4" xfId="7119"/>
    <cellStyle name="百分比 4 7 10 5" xfId="7120"/>
    <cellStyle name="百分比 4 7 10 6" xfId="7121"/>
    <cellStyle name="百分比 4 7 11" xfId="7122"/>
    <cellStyle name="百分比 4 7 12" xfId="7123"/>
    <cellStyle name="百分比 4 7 13" xfId="7124"/>
    <cellStyle name="百分比 4 7 14" xfId="7125"/>
    <cellStyle name="百分比 4 7 15" xfId="7126"/>
    <cellStyle name="百分比 4 7 16" xfId="7127"/>
    <cellStyle name="百分比 4 7 2" xfId="7128"/>
    <cellStyle name="百分比 4 7 2 2" xfId="7129"/>
    <cellStyle name="百分比 4 7 2 2 2" xfId="7130"/>
    <cellStyle name="百分比 4 7 2 2 3" xfId="7131"/>
    <cellStyle name="百分比 4 7 2 2 4" xfId="7132"/>
    <cellStyle name="百分比 4 7 2 2 5" xfId="7133"/>
    <cellStyle name="百分比 4 7 2 2 6" xfId="7134"/>
    <cellStyle name="百分比 4 7 2 2 7" xfId="7135"/>
    <cellStyle name="百分比 4 7 2 3" xfId="7136"/>
    <cellStyle name="百分比 4 7 2 3 2" xfId="7137"/>
    <cellStyle name="百分比 4 7 2 4" xfId="7138"/>
    <cellStyle name="百分比 4 7 2 5" xfId="7139"/>
    <cellStyle name="百分比 4 7 2 6" xfId="7140"/>
    <cellStyle name="百分比 4 7 2 7" xfId="7141"/>
    <cellStyle name="百分比 4 7 2 8" xfId="7142"/>
    <cellStyle name="百分比 4 7 3" xfId="7143"/>
    <cellStyle name="百分比 4 7 3 2" xfId="7144"/>
    <cellStyle name="百分比 4 7 3 2 2" xfId="7145"/>
    <cellStyle name="百分比 4 7 3 2 3" xfId="7146"/>
    <cellStyle name="百分比 4 7 3 2 4" xfId="7147"/>
    <cellStyle name="百分比 4 7 3 2 5" xfId="7148"/>
    <cellStyle name="百分比 4 7 3 2 6" xfId="7149"/>
    <cellStyle name="百分比 4 7 3 2 7" xfId="7150"/>
    <cellStyle name="百分比 4 7 3 3" xfId="7151"/>
    <cellStyle name="百分比 4 7 3 3 2" xfId="7152"/>
    <cellStyle name="百分比 4 7 3 4" xfId="7153"/>
    <cellStyle name="百分比 4 7 3 5" xfId="7154"/>
    <cellStyle name="百分比 4 7 3 6" xfId="7155"/>
    <cellStyle name="百分比 4 7 3 7" xfId="7156"/>
    <cellStyle name="百分比 4 7 3 8" xfId="7157"/>
    <cellStyle name="百分比 4 7 4" xfId="7158"/>
    <cellStyle name="百分比 4 7 4 2" xfId="7159"/>
    <cellStyle name="百分比 4 7 4 2 2" xfId="7160"/>
    <cellStyle name="百分比 4 7 4 2 3" xfId="7161"/>
    <cellStyle name="百分比 4 7 4 2 4" xfId="7162"/>
    <cellStyle name="百分比 4 7 4 2 5" xfId="7163"/>
    <cellStyle name="百分比 4 7 4 2 6" xfId="7164"/>
    <cellStyle name="百分比 4 7 4 3" xfId="7165"/>
    <cellStyle name="百分比 4 7 4 4" xfId="7166"/>
    <cellStyle name="百分比 4 7 4 5" xfId="7167"/>
    <cellStyle name="百分比 4 7 4 6" xfId="7168"/>
    <cellStyle name="百分比 4 7 4 7" xfId="7169"/>
    <cellStyle name="百分比 4 7 4 8" xfId="7170"/>
    <cellStyle name="百分比 4 7 5" xfId="7171"/>
    <cellStyle name="百分比 4 7 5 2" xfId="7172"/>
    <cellStyle name="百分比 4 7 5 2 2" xfId="7173"/>
    <cellStyle name="百分比 4 7 5 2 3" xfId="7174"/>
    <cellStyle name="百分比 4 7 5 2 4" xfId="7175"/>
    <cellStyle name="百分比 4 7 5 2 5" xfId="7176"/>
    <cellStyle name="百分比 4 7 5 2 6" xfId="7177"/>
    <cellStyle name="百分比 4 7 5 3" xfId="7178"/>
    <cellStyle name="百分比 4 7 5 4" xfId="7179"/>
    <cellStyle name="百分比 4 7 5 5" xfId="7180"/>
    <cellStyle name="百分比 4 7 5 6" xfId="7181"/>
    <cellStyle name="百分比 4 7 5 7" xfId="7182"/>
    <cellStyle name="百分比 4 7 5 8" xfId="7183"/>
    <cellStyle name="百分比 4 7 6" xfId="7184"/>
    <cellStyle name="百分比 4 7 6 2" xfId="7185"/>
    <cellStyle name="百分比 4 7 6 2 2" xfId="7186"/>
    <cellStyle name="百分比 4 7 6 2 3" xfId="7187"/>
    <cellStyle name="百分比 4 7 6 2 4" xfId="7188"/>
    <cellStyle name="百分比 4 7 6 2 5" xfId="7189"/>
    <cellStyle name="百分比 4 7 6 2 6" xfId="7190"/>
    <cellStyle name="百分比 4 7 6 3" xfId="7191"/>
    <cellStyle name="百分比 4 7 6 4" xfId="7192"/>
    <cellStyle name="百分比 4 7 6 5" xfId="7193"/>
    <cellStyle name="百分比 4 7 6 6" xfId="7194"/>
    <cellStyle name="百分比 4 7 6 7" xfId="7195"/>
    <cellStyle name="百分比 4 7 7" xfId="7196"/>
    <cellStyle name="百分比 4 7 7 2" xfId="7197"/>
    <cellStyle name="百分比 4 7 7 2 2" xfId="7198"/>
    <cellStyle name="百分比 4 7 7 2 3" xfId="7199"/>
    <cellStyle name="百分比 4 7 7 2 4" xfId="7200"/>
    <cellStyle name="百分比 4 7 7 2 5" xfId="7201"/>
    <cellStyle name="百分比 4 7 7 2 6" xfId="7202"/>
    <cellStyle name="百分比 4 7 7 3" xfId="7203"/>
    <cellStyle name="百分比 4 7 7 4" xfId="7204"/>
    <cellStyle name="百分比 4 7 7 5" xfId="7205"/>
    <cellStyle name="百分比 4 7 7 6" xfId="7206"/>
    <cellStyle name="百分比 4 7 7 7" xfId="7207"/>
    <cellStyle name="百分比 4 7 8" xfId="7208"/>
    <cellStyle name="百分比 4 7 8 2" xfId="7209"/>
    <cellStyle name="百分比 4 7 8 2 2" xfId="7210"/>
    <cellStyle name="百分比 4 7 8 2 3" xfId="7211"/>
    <cellStyle name="百分比 4 7 8 2 4" xfId="7212"/>
    <cellStyle name="百分比 4 7 8 2 5" xfId="7213"/>
    <cellStyle name="百分比 4 7 8 2 6" xfId="7214"/>
    <cellStyle name="百分比 4 7 8 3" xfId="7215"/>
    <cellStyle name="百分比 4 7 8 4" xfId="7216"/>
    <cellStyle name="百分比 4 7 8 5" xfId="7217"/>
    <cellStyle name="百分比 4 7 8 6" xfId="7218"/>
    <cellStyle name="百分比 4 7 8 7" xfId="7219"/>
    <cellStyle name="百分比 4 7 9" xfId="7220"/>
    <cellStyle name="百分比 4 7 9 2" xfId="7221"/>
    <cellStyle name="百分比 4 7 9 2 2" xfId="7222"/>
    <cellStyle name="百分比 4 7 9 2 3" xfId="7223"/>
    <cellStyle name="百分比 4 7 9 2 4" xfId="7224"/>
    <cellStyle name="百分比 4 7 9 2 5" xfId="7225"/>
    <cellStyle name="百分比 4 7 9 2 6" xfId="7226"/>
    <cellStyle name="百分比 4 7 9 3" xfId="7227"/>
    <cellStyle name="百分比 4 7 9 4" xfId="7228"/>
    <cellStyle name="百分比 4 7 9 5" xfId="7229"/>
    <cellStyle name="百分比 4 7 9 6" xfId="7230"/>
    <cellStyle name="百分比 4 7 9 7" xfId="7231"/>
    <cellStyle name="百分比 4 8" xfId="7232"/>
    <cellStyle name="百分比 4 8 10" xfId="7233"/>
    <cellStyle name="百分比 4 8 11" xfId="7234"/>
    <cellStyle name="百分比 4 8 12" xfId="7235"/>
    <cellStyle name="百分比 4 8 13" xfId="7236"/>
    <cellStyle name="百分比 4 8 14" xfId="7237"/>
    <cellStyle name="百分比 4 8 15" xfId="7238"/>
    <cellStyle name="百分比 4 8 2" xfId="7239"/>
    <cellStyle name="百分比 4 8 2 2" xfId="7240"/>
    <cellStyle name="百分比 4 8 2 2 2" xfId="7241"/>
    <cellStyle name="百分比 4 8 2 2 3" xfId="7242"/>
    <cellStyle name="百分比 4 8 2 2 4" xfId="7243"/>
    <cellStyle name="百分比 4 8 2 2 5" xfId="7244"/>
    <cellStyle name="百分比 4 8 2 2 6" xfId="7245"/>
    <cellStyle name="百分比 4 8 2 2 7" xfId="7246"/>
    <cellStyle name="百分比 4 8 2 3" xfId="7247"/>
    <cellStyle name="百分比 4 8 2 3 2" xfId="7248"/>
    <cellStyle name="百分比 4 8 2 4" xfId="7249"/>
    <cellStyle name="百分比 4 8 2 4 2" xfId="7250"/>
    <cellStyle name="百分比 4 8 2 5" xfId="7251"/>
    <cellStyle name="百分比 4 8 2 6" xfId="7252"/>
    <cellStyle name="百分比 4 8 2 7" xfId="7253"/>
    <cellStyle name="百分比 4 8 2 8" xfId="7254"/>
    <cellStyle name="百分比 4 8 3" xfId="7255"/>
    <cellStyle name="百分比 4 8 3 2" xfId="7256"/>
    <cellStyle name="百分比 4 8 3 2 2" xfId="7257"/>
    <cellStyle name="百分比 4 8 3 2 3" xfId="7258"/>
    <cellStyle name="百分比 4 8 3 2 4" xfId="7259"/>
    <cellStyle name="百分比 4 8 3 2 5" xfId="7260"/>
    <cellStyle name="百分比 4 8 3 2 6" xfId="7261"/>
    <cellStyle name="百分比 4 8 3 3" xfId="7262"/>
    <cellStyle name="百分比 4 8 3 4" xfId="7263"/>
    <cellStyle name="百分比 4 8 3 5" xfId="7264"/>
    <cellStyle name="百分比 4 8 3 6" xfId="7265"/>
    <cellStyle name="百分比 4 8 3 7" xfId="7266"/>
    <cellStyle name="百分比 4 8 3 8" xfId="7267"/>
    <cellStyle name="百分比 4 8 4" xfId="7268"/>
    <cellStyle name="百分比 4 8 4 2" xfId="7269"/>
    <cellStyle name="百分比 4 8 4 2 2" xfId="7270"/>
    <cellStyle name="百分比 4 8 4 2 3" xfId="7271"/>
    <cellStyle name="百分比 4 8 4 2 4" xfId="7272"/>
    <cellStyle name="百分比 4 8 4 2 5" xfId="7273"/>
    <cellStyle name="百分比 4 8 4 2 6" xfId="7274"/>
    <cellStyle name="百分比 4 8 4 3" xfId="7275"/>
    <cellStyle name="百分比 4 8 4 4" xfId="7276"/>
    <cellStyle name="百分比 4 8 4 5" xfId="7277"/>
    <cellStyle name="百分比 4 8 4 6" xfId="7278"/>
    <cellStyle name="百分比 4 8 4 7" xfId="7279"/>
    <cellStyle name="百分比 4 8 4 8" xfId="7280"/>
    <cellStyle name="百分比 4 8 5" xfId="7281"/>
    <cellStyle name="百分比 4 8 5 2" xfId="7282"/>
    <cellStyle name="百分比 4 8 5 2 2" xfId="7283"/>
    <cellStyle name="百分比 4 8 5 2 3" xfId="7284"/>
    <cellStyle name="百分比 4 8 5 2 4" xfId="7285"/>
    <cellStyle name="百分比 4 8 5 2 5" xfId="7286"/>
    <cellStyle name="百分比 4 8 5 2 6" xfId="7287"/>
    <cellStyle name="百分比 4 8 5 3" xfId="7288"/>
    <cellStyle name="百分比 4 8 5 4" xfId="7289"/>
    <cellStyle name="百分比 4 8 5 5" xfId="7290"/>
    <cellStyle name="百分比 4 8 5 6" xfId="7291"/>
    <cellStyle name="百分比 4 8 5 7" xfId="7292"/>
    <cellStyle name="百分比 4 8 6" xfId="7293"/>
    <cellStyle name="百分比 4 8 6 2" xfId="7294"/>
    <cellStyle name="百分比 4 8 6 2 2" xfId="7295"/>
    <cellStyle name="百分比 4 8 6 2 3" xfId="7296"/>
    <cellStyle name="百分比 4 8 6 2 4" xfId="7297"/>
    <cellStyle name="百分比 4 8 6 2 5" xfId="7298"/>
    <cellStyle name="百分比 4 8 6 2 6" xfId="7299"/>
    <cellStyle name="百分比 4 8 6 3" xfId="7300"/>
    <cellStyle name="百分比 4 8 6 4" xfId="7301"/>
    <cellStyle name="百分比 4 8 6 5" xfId="7302"/>
    <cellStyle name="百分比 4 8 6 6" xfId="7303"/>
    <cellStyle name="百分比 4 8 6 7" xfId="7304"/>
    <cellStyle name="百分比 4 8 7" xfId="7305"/>
    <cellStyle name="百分比 4 8 7 2" xfId="7306"/>
    <cellStyle name="百分比 4 8 7 2 2" xfId="7307"/>
    <cellStyle name="百分比 4 8 7 2 3" xfId="7308"/>
    <cellStyle name="百分比 4 8 7 2 4" xfId="7309"/>
    <cellStyle name="百分比 4 8 7 2 5" xfId="7310"/>
    <cellStyle name="百分比 4 8 7 2 6" xfId="7311"/>
    <cellStyle name="百分比 4 8 7 3" xfId="7312"/>
    <cellStyle name="百分比 4 8 7 4" xfId="7313"/>
    <cellStyle name="百分比 4 8 7 5" xfId="7314"/>
    <cellStyle name="百分比 4 8 7 6" xfId="7315"/>
    <cellStyle name="百分比 4 8 7 7" xfId="7316"/>
    <cellStyle name="百分比 4 8 8" xfId="7317"/>
    <cellStyle name="百分比 4 8 8 2" xfId="7318"/>
    <cellStyle name="百分比 4 8 8 2 2" xfId="7319"/>
    <cellStyle name="百分比 4 8 8 2 3" xfId="7320"/>
    <cellStyle name="百分比 4 8 8 2 4" xfId="7321"/>
    <cellStyle name="百分比 4 8 8 2 5" xfId="7322"/>
    <cellStyle name="百分比 4 8 8 2 6" xfId="7323"/>
    <cellStyle name="百分比 4 8 8 3" xfId="7324"/>
    <cellStyle name="百分比 4 8 8 4" xfId="7325"/>
    <cellStyle name="百分比 4 8 8 5" xfId="7326"/>
    <cellStyle name="百分比 4 8 8 6" xfId="7327"/>
    <cellStyle name="百分比 4 8 8 7" xfId="7328"/>
    <cellStyle name="百分比 4 8 9" xfId="7329"/>
    <cellStyle name="百分比 4 8 9 2" xfId="7330"/>
    <cellStyle name="百分比 4 8 9 3" xfId="7331"/>
    <cellStyle name="百分比 4 8 9 4" xfId="7332"/>
    <cellStyle name="百分比 4 8 9 5" xfId="7333"/>
    <cellStyle name="百分比 4 8 9 6" xfId="7334"/>
    <cellStyle name="百分比 4 9" xfId="7335"/>
    <cellStyle name="百分比 4 9 10" xfId="7336"/>
    <cellStyle name="百分比 4 9 11" xfId="7337"/>
    <cellStyle name="百分比 4 9 12" xfId="7338"/>
    <cellStyle name="百分比 4 9 13" xfId="7339"/>
    <cellStyle name="百分比 4 9 14" xfId="7340"/>
    <cellStyle name="百分比 4 9 2" xfId="7341"/>
    <cellStyle name="百分比 4 9 2 2" xfId="7342"/>
    <cellStyle name="百分比 4 9 2 2 2" xfId="7343"/>
    <cellStyle name="百分比 4 9 2 2 3" xfId="7344"/>
    <cellStyle name="百分比 4 9 2 2 4" xfId="7345"/>
    <cellStyle name="百分比 4 9 2 2 5" xfId="7346"/>
    <cellStyle name="百分比 4 9 2 2 6" xfId="7347"/>
    <cellStyle name="百分比 4 9 2 3" xfId="7348"/>
    <cellStyle name="百分比 4 9 2 4" xfId="7349"/>
    <cellStyle name="百分比 4 9 2 5" xfId="7350"/>
    <cellStyle name="百分比 4 9 2 6" xfId="7351"/>
    <cellStyle name="百分比 4 9 2 7" xfId="7352"/>
    <cellStyle name="百分比 4 9 2 8" xfId="7353"/>
    <cellStyle name="百分比 4 9 3" xfId="7354"/>
    <cellStyle name="百分比 4 9 3 2" xfId="7355"/>
    <cellStyle name="百分比 4 9 3 2 2" xfId="7356"/>
    <cellStyle name="百分比 4 9 3 2 3" xfId="7357"/>
    <cellStyle name="百分比 4 9 3 2 4" xfId="7358"/>
    <cellStyle name="百分比 4 9 3 2 5" xfId="7359"/>
    <cellStyle name="百分比 4 9 3 2 6" xfId="7360"/>
    <cellStyle name="百分比 4 9 3 3" xfId="7361"/>
    <cellStyle name="百分比 4 9 3 4" xfId="7362"/>
    <cellStyle name="百分比 4 9 3 5" xfId="7363"/>
    <cellStyle name="百分比 4 9 3 6" xfId="7364"/>
    <cellStyle name="百分比 4 9 3 7" xfId="7365"/>
    <cellStyle name="百分比 4 9 3 8" xfId="7366"/>
    <cellStyle name="百分比 4 9 4" xfId="7367"/>
    <cellStyle name="百分比 4 9 4 2" xfId="7368"/>
    <cellStyle name="百分比 4 9 4 2 2" xfId="7369"/>
    <cellStyle name="百分比 4 9 4 2 3" xfId="7370"/>
    <cellStyle name="百分比 4 9 4 2 4" xfId="7371"/>
    <cellStyle name="百分比 4 9 4 2 5" xfId="7372"/>
    <cellStyle name="百分比 4 9 4 2 6" xfId="7373"/>
    <cellStyle name="百分比 4 9 4 3" xfId="7374"/>
    <cellStyle name="百分比 4 9 4 4" xfId="7375"/>
    <cellStyle name="百分比 4 9 4 5" xfId="7376"/>
    <cellStyle name="百分比 4 9 4 6" xfId="7377"/>
    <cellStyle name="百分比 4 9 4 7" xfId="7378"/>
    <cellStyle name="百分比 4 9 5" xfId="7379"/>
    <cellStyle name="百分比 4 9 5 2" xfId="7380"/>
    <cellStyle name="百分比 4 9 5 2 2" xfId="7381"/>
    <cellStyle name="百分比 4 9 5 2 3" xfId="7382"/>
    <cellStyle name="百分比 4 9 5 2 4" xfId="7383"/>
    <cellStyle name="百分比 4 9 5 2 5" xfId="7384"/>
    <cellStyle name="百分比 4 9 5 2 6" xfId="7385"/>
    <cellStyle name="百分比 4 9 5 3" xfId="7386"/>
    <cellStyle name="百分比 4 9 5 4" xfId="7387"/>
    <cellStyle name="百分比 4 9 5 5" xfId="7388"/>
    <cellStyle name="百分比 4 9 5 6" xfId="7389"/>
    <cellStyle name="百分比 4 9 5 7" xfId="7390"/>
    <cellStyle name="百分比 4 9 6" xfId="7391"/>
    <cellStyle name="百分比 4 9 6 2" xfId="7392"/>
    <cellStyle name="百分比 4 9 6 2 2" xfId="7393"/>
    <cellStyle name="百分比 4 9 6 2 3" xfId="7394"/>
    <cellStyle name="百分比 4 9 6 2 4" xfId="7395"/>
    <cellStyle name="百分比 4 9 6 2 5" xfId="7396"/>
    <cellStyle name="百分比 4 9 6 2 6" xfId="7397"/>
    <cellStyle name="百分比 4 9 6 3" xfId="7398"/>
    <cellStyle name="百分比 4 9 6 4" xfId="7399"/>
    <cellStyle name="百分比 4 9 6 5" xfId="7400"/>
    <cellStyle name="百分比 4 9 6 6" xfId="7401"/>
    <cellStyle name="百分比 4 9 6 7" xfId="7402"/>
    <cellStyle name="百分比 4 9 7" xfId="7403"/>
    <cellStyle name="百分比 4 9 7 2" xfId="7404"/>
    <cellStyle name="百分比 4 9 7 2 2" xfId="7405"/>
    <cellStyle name="百分比 4 9 7 2 3" xfId="7406"/>
    <cellStyle name="百分比 4 9 7 2 4" xfId="7407"/>
    <cellStyle name="百分比 4 9 7 2 5" xfId="7408"/>
    <cellStyle name="百分比 4 9 7 2 6" xfId="7409"/>
    <cellStyle name="百分比 4 9 7 3" xfId="7410"/>
    <cellStyle name="百分比 4 9 7 4" xfId="7411"/>
    <cellStyle name="百分比 4 9 7 5" xfId="7412"/>
    <cellStyle name="百分比 4 9 7 6" xfId="7413"/>
    <cellStyle name="百分比 4 9 7 7" xfId="7414"/>
    <cellStyle name="百分比 4 9 8" xfId="7415"/>
    <cellStyle name="百分比 4 9 8 2" xfId="7416"/>
    <cellStyle name="百分比 4 9 8 3" xfId="7417"/>
    <cellStyle name="百分比 4 9 8 4" xfId="7418"/>
    <cellStyle name="百分比 4 9 8 5" xfId="7419"/>
    <cellStyle name="百分比 4 9 8 6" xfId="7420"/>
    <cellStyle name="百分比 4 9 9" xfId="7421"/>
    <cellStyle name="百分比 5" xfId="7422"/>
    <cellStyle name="百分比 5 10" xfId="7423"/>
    <cellStyle name="百分比 5 10 2" xfId="7424"/>
    <cellStyle name="百分比 5 11" xfId="7425"/>
    <cellStyle name="百分比 5 11 2" xfId="7426"/>
    <cellStyle name="百分比 5 12" xfId="7427"/>
    <cellStyle name="百分比 5 13" xfId="7428"/>
    <cellStyle name="百分比 5 13 2" xfId="7429"/>
    <cellStyle name="百分比 5 14" xfId="7430"/>
    <cellStyle name="百分比 5 15" xfId="7431"/>
    <cellStyle name="百分比 5 2" xfId="7432"/>
    <cellStyle name="百分比 5 2 10" xfId="7433"/>
    <cellStyle name="百分比 5 2 11" xfId="7434"/>
    <cellStyle name="百分比 5 2 12" xfId="7435"/>
    <cellStyle name="百分比 5 2 13" xfId="7436"/>
    <cellStyle name="百分比 5 2 14" xfId="7437"/>
    <cellStyle name="百分比 5 2 2" xfId="7438"/>
    <cellStyle name="百分比 5 2 2 10" xfId="7439"/>
    <cellStyle name="百分比 5 2 2 11" xfId="7440"/>
    <cellStyle name="百分比 5 2 2 12" xfId="7441"/>
    <cellStyle name="百分比 5 2 2 2" xfId="7442"/>
    <cellStyle name="百分比 5 2 2 2 2" xfId="7443"/>
    <cellStyle name="百分比 5 2 2 2 2 2" xfId="7444"/>
    <cellStyle name="百分比 5 2 2 2 2 2 2" xfId="7445"/>
    <cellStyle name="百分比 5 2 2 2 2 2 3" xfId="7446"/>
    <cellStyle name="百分比 5 2 2 2 2 2 4" xfId="7447"/>
    <cellStyle name="百分比 5 2 2 2 2 2 5" xfId="7448"/>
    <cellStyle name="百分比 5 2 2 2 2 2 6" xfId="7449"/>
    <cellStyle name="百分比 5 2 2 2 2 2 7" xfId="7450"/>
    <cellStyle name="百分比 5 2 2 2 2 3" xfId="7451"/>
    <cellStyle name="百分比 5 2 2 2 2 3 2" xfId="7452"/>
    <cellStyle name="百分比 5 2 2 2 2 4" xfId="7453"/>
    <cellStyle name="百分比 5 2 2 2 2 5" xfId="7454"/>
    <cellStyle name="百分比 5 2 2 2 2 6" xfId="7455"/>
    <cellStyle name="百分比 5 2 2 2 2 7" xfId="7456"/>
    <cellStyle name="百分比 5 2 2 2 2 8" xfId="7457"/>
    <cellStyle name="百分比 5 2 2 2 3" xfId="7458"/>
    <cellStyle name="百分比 5 2 2 2 3 2" xfId="7459"/>
    <cellStyle name="百分比 5 2 2 2 3 2 2" xfId="7460"/>
    <cellStyle name="百分比 5 2 2 2 3 3" xfId="7461"/>
    <cellStyle name="百分比 5 2 2 2 3 3 2" xfId="7462"/>
    <cellStyle name="百分比 5 2 2 2 3 4" xfId="7463"/>
    <cellStyle name="百分比 5 2 2 2 3 5" xfId="7464"/>
    <cellStyle name="百分比 5 2 2 2 3 6" xfId="7465"/>
    <cellStyle name="百分比 5 2 2 2 3 7" xfId="7466"/>
    <cellStyle name="百分比 5 2 2 2 4" xfId="7467"/>
    <cellStyle name="百分比 5 2 2 2 4 2" xfId="7468"/>
    <cellStyle name="百分比 5 2 2 2 5" xfId="7469"/>
    <cellStyle name="百分比 5 2 2 2 5 2" xfId="7470"/>
    <cellStyle name="百分比 5 2 2 2 6" xfId="7471"/>
    <cellStyle name="百分比 5 2 2 2 7" xfId="7472"/>
    <cellStyle name="百分比 5 2 2 2 8" xfId="7473"/>
    <cellStyle name="百分比 5 2 2 2 9" xfId="7474"/>
    <cellStyle name="百分比 5 2 2 3" xfId="7475"/>
    <cellStyle name="百分比 5 2 2 3 2" xfId="7476"/>
    <cellStyle name="百分比 5 2 2 3 2 2" xfId="7477"/>
    <cellStyle name="百分比 5 2 2 3 2 2 2" xfId="7478"/>
    <cellStyle name="百分比 5 2 2 3 2 2 3" xfId="7479"/>
    <cellStyle name="百分比 5 2 2 3 2 2 4" xfId="7480"/>
    <cellStyle name="百分比 5 2 2 3 2 2 5" xfId="7481"/>
    <cellStyle name="百分比 5 2 2 3 2 2 6" xfId="7482"/>
    <cellStyle name="百分比 5 2 2 3 2 3" xfId="7483"/>
    <cellStyle name="百分比 5 2 2 3 2 4" xfId="7484"/>
    <cellStyle name="百分比 5 2 2 3 2 5" xfId="7485"/>
    <cellStyle name="百分比 5 2 2 3 2 6" xfId="7486"/>
    <cellStyle name="百分比 5 2 2 3 2 7" xfId="7487"/>
    <cellStyle name="百分比 5 2 2 3 2 8" xfId="7488"/>
    <cellStyle name="百分比 5 2 2 3 3" xfId="7489"/>
    <cellStyle name="百分比 5 2 2 3 3 2" xfId="7490"/>
    <cellStyle name="百分比 5 2 2 3 3 3" xfId="7491"/>
    <cellStyle name="百分比 5 2 2 3 3 4" xfId="7492"/>
    <cellStyle name="百分比 5 2 2 3 3 5" xfId="7493"/>
    <cellStyle name="百分比 5 2 2 3 3 6" xfId="7494"/>
    <cellStyle name="百分比 5 2 2 3 3 7" xfId="7495"/>
    <cellStyle name="百分比 5 2 2 3 4" xfId="7496"/>
    <cellStyle name="百分比 5 2 2 3 5" xfId="7497"/>
    <cellStyle name="百分比 5 2 2 3 6" xfId="7498"/>
    <cellStyle name="百分比 5 2 2 3 7" xfId="7499"/>
    <cellStyle name="百分比 5 2 2 3 8" xfId="7500"/>
    <cellStyle name="百分比 5 2 2 3 9" xfId="7501"/>
    <cellStyle name="百分比 5 2 2 4" xfId="7502"/>
    <cellStyle name="百分比 5 2 2 4 2" xfId="7503"/>
    <cellStyle name="百分比 5 2 2 4 2 2" xfId="7504"/>
    <cellStyle name="百分比 5 2 2 4 2 3" xfId="7505"/>
    <cellStyle name="百分比 5 2 2 4 2 4" xfId="7506"/>
    <cellStyle name="百分比 5 2 2 4 2 5" xfId="7507"/>
    <cellStyle name="百分比 5 2 2 4 2 6" xfId="7508"/>
    <cellStyle name="百分比 5 2 2 4 2 7" xfId="7509"/>
    <cellStyle name="百分比 5 2 2 4 3" xfId="7510"/>
    <cellStyle name="百分比 5 2 2 4 3 2" xfId="7511"/>
    <cellStyle name="百分比 5 2 2 4 4" xfId="7512"/>
    <cellStyle name="百分比 5 2 2 4 5" xfId="7513"/>
    <cellStyle name="百分比 5 2 2 4 6" xfId="7514"/>
    <cellStyle name="百分比 5 2 2 4 7" xfId="7515"/>
    <cellStyle name="百分比 5 2 2 4 8" xfId="7516"/>
    <cellStyle name="百分比 5 2 2 5" xfId="7517"/>
    <cellStyle name="百分比 5 2 2 5 2" xfId="7518"/>
    <cellStyle name="百分比 5 2 2 5 2 2" xfId="7519"/>
    <cellStyle name="百分比 5 2 2 5 2 3" xfId="7520"/>
    <cellStyle name="百分比 5 2 2 5 2 4" xfId="7521"/>
    <cellStyle name="百分比 5 2 2 5 2 5" xfId="7522"/>
    <cellStyle name="百分比 5 2 2 5 2 6" xfId="7523"/>
    <cellStyle name="百分比 5 2 2 5 3" xfId="7524"/>
    <cellStyle name="百分比 5 2 2 5 4" xfId="7525"/>
    <cellStyle name="百分比 5 2 2 5 5" xfId="7526"/>
    <cellStyle name="百分比 5 2 2 5 6" xfId="7527"/>
    <cellStyle name="百分比 5 2 2 5 7" xfId="7528"/>
    <cellStyle name="百分比 5 2 2 5 8" xfId="7529"/>
    <cellStyle name="百分比 5 2 2 6" xfId="7530"/>
    <cellStyle name="百分比 5 2 2 6 2" xfId="7531"/>
    <cellStyle name="百分比 5 2 2 6 3" xfId="7532"/>
    <cellStyle name="百分比 5 2 2 6 4" xfId="7533"/>
    <cellStyle name="百分比 5 2 2 6 5" xfId="7534"/>
    <cellStyle name="百分比 5 2 2 6 6" xfId="7535"/>
    <cellStyle name="百分比 5 2 2 6 7" xfId="7536"/>
    <cellStyle name="百分比 5 2 2 7" xfId="7537"/>
    <cellStyle name="百分比 5 2 2 8" xfId="7538"/>
    <cellStyle name="百分比 5 2 2 9" xfId="7539"/>
    <cellStyle name="百分比 5 2 3" xfId="7540"/>
    <cellStyle name="百分比 5 2 3 2" xfId="7541"/>
    <cellStyle name="百分比 5 2 3 2 2" xfId="7542"/>
    <cellStyle name="百分比 5 2 3 2 2 2" xfId="7543"/>
    <cellStyle name="百分比 5 2 3 2 2 3" xfId="7544"/>
    <cellStyle name="百分比 5 2 3 2 2 4" xfId="7545"/>
    <cellStyle name="百分比 5 2 3 2 2 5" xfId="7546"/>
    <cellStyle name="百分比 5 2 3 2 2 6" xfId="7547"/>
    <cellStyle name="百分比 5 2 3 2 2 7" xfId="7548"/>
    <cellStyle name="百分比 5 2 3 2 3" xfId="7549"/>
    <cellStyle name="百分比 5 2 3 2 3 2" xfId="7550"/>
    <cellStyle name="百分比 5 2 3 2 4" xfId="7551"/>
    <cellStyle name="百分比 5 2 3 2 5" xfId="7552"/>
    <cellStyle name="百分比 5 2 3 2 6" xfId="7553"/>
    <cellStyle name="百分比 5 2 3 2 7" xfId="7554"/>
    <cellStyle name="百分比 5 2 3 2 8" xfId="7555"/>
    <cellStyle name="百分比 5 2 3 3" xfId="7556"/>
    <cellStyle name="百分比 5 2 3 3 2" xfId="7557"/>
    <cellStyle name="百分比 5 2 3 3 2 2" xfId="7558"/>
    <cellStyle name="百分比 5 2 3 3 3" xfId="7559"/>
    <cellStyle name="百分比 5 2 3 3 3 2" xfId="7560"/>
    <cellStyle name="百分比 5 2 3 3 4" xfId="7561"/>
    <cellStyle name="百分比 5 2 3 3 5" xfId="7562"/>
    <cellStyle name="百分比 5 2 3 3 6" xfId="7563"/>
    <cellStyle name="百分比 5 2 3 3 7" xfId="7564"/>
    <cellStyle name="百分比 5 2 3 4" xfId="7565"/>
    <cellStyle name="百分比 5 2 3 4 2" xfId="7566"/>
    <cellStyle name="百分比 5 2 3 5" xfId="7567"/>
    <cellStyle name="百分比 5 2 3 5 2" xfId="7568"/>
    <cellStyle name="百分比 5 2 3 6" xfId="7569"/>
    <cellStyle name="百分比 5 2 3 7" xfId="7570"/>
    <cellStyle name="百分比 5 2 3 8" xfId="7571"/>
    <cellStyle name="百分比 5 2 3 9" xfId="7572"/>
    <cellStyle name="百分比 5 2 4" xfId="7573"/>
    <cellStyle name="百分比 5 2 4 2" xfId="7574"/>
    <cellStyle name="百分比 5 2 4 2 2" xfId="7575"/>
    <cellStyle name="百分比 5 2 4 2 2 2" xfId="7576"/>
    <cellStyle name="百分比 5 2 4 2 2 3" xfId="7577"/>
    <cellStyle name="百分比 5 2 4 2 2 4" xfId="7578"/>
    <cellStyle name="百分比 5 2 4 2 2 5" xfId="7579"/>
    <cellStyle name="百分比 5 2 4 2 2 6" xfId="7580"/>
    <cellStyle name="百分比 5 2 4 2 3" xfId="7581"/>
    <cellStyle name="百分比 5 2 4 2 4" xfId="7582"/>
    <cellStyle name="百分比 5 2 4 2 5" xfId="7583"/>
    <cellStyle name="百分比 5 2 4 2 6" xfId="7584"/>
    <cellStyle name="百分比 5 2 4 2 7" xfId="7585"/>
    <cellStyle name="百分比 5 2 4 2 8" xfId="7586"/>
    <cellStyle name="百分比 5 2 4 3" xfId="7587"/>
    <cellStyle name="百分比 5 2 4 3 2" xfId="7588"/>
    <cellStyle name="百分比 5 2 4 3 3" xfId="7589"/>
    <cellStyle name="百分比 5 2 4 3 4" xfId="7590"/>
    <cellStyle name="百分比 5 2 4 3 5" xfId="7591"/>
    <cellStyle name="百分比 5 2 4 3 6" xfId="7592"/>
    <cellStyle name="百分比 5 2 4 3 7" xfId="7593"/>
    <cellStyle name="百分比 5 2 4 4" xfId="7594"/>
    <cellStyle name="百分比 5 2 4 5" xfId="7595"/>
    <cellStyle name="百分比 5 2 4 6" xfId="7596"/>
    <cellStyle name="百分比 5 2 4 7" xfId="7597"/>
    <cellStyle name="百分比 5 2 4 8" xfId="7598"/>
    <cellStyle name="百分比 5 2 4 9" xfId="7599"/>
    <cellStyle name="百分比 5 2 5" xfId="7600"/>
    <cellStyle name="百分比 5 2 5 2" xfId="7601"/>
    <cellStyle name="百分比 5 2 5 2 2" xfId="7602"/>
    <cellStyle name="百分比 5 2 5 2 3" xfId="7603"/>
    <cellStyle name="百分比 5 2 5 2 4" xfId="7604"/>
    <cellStyle name="百分比 5 2 5 2 5" xfId="7605"/>
    <cellStyle name="百分比 5 2 5 2 6" xfId="7606"/>
    <cellStyle name="百分比 5 2 5 2 7" xfId="7607"/>
    <cellStyle name="百分比 5 2 5 3" xfId="7608"/>
    <cellStyle name="百分比 5 2 5 3 2" xfId="7609"/>
    <cellStyle name="百分比 5 2 5 4" xfId="7610"/>
    <cellStyle name="百分比 5 2 5 5" xfId="7611"/>
    <cellStyle name="百分比 5 2 5 6" xfId="7612"/>
    <cellStyle name="百分比 5 2 5 7" xfId="7613"/>
    <cellStyle name="百分比 5 2 5 8" xfId="7614"/>
    <cellStyle name="百分比 5 2 6" xfId="7615"/>
    <cellStyle name="百分比 5 2 6 2" xfId="7616"/>
    <cellStyle name="百分比 5 2 6 2 2" xfId="7617"/>
    <cellStyle name="百分比 5 2 6 2 3" xfId="7618"/>
    <cellStyle name="百分比 5 2 6 2 4" xfId="7619"/>
    <cellStyle name="百分比 5 2 6 2 5" xfId="7620"/>
    <cellStyle name="百分比 5 2 6 2 6" xfId="7621"/>
    <cellStyle name="百分比 5 2 6 3" xfId="7622"/>
    <cellStyle name="百分比 5 2 6 4" xfId="7623"/>
    <cellStyle name="百分比 5 2 6 5" xfId="7624"/>
    <cellStyle name="百分比 5 2 6 6" xfId="7625"/>
    <cellStyle name="百分比 5 2 6 7" xfId="7626"/>
    <cellStyle name="百分比 5 2 6 8" xfId="7627"/>
    <cellStyle name="百分比 5 2 7" xfId="7628"/>
    <cellStyle name="百分比 5 2 7 2" xfId="7629"/>
    <cellStyle name="百分比 5 2 7 2 2" xfId="7630"/>
    <cellStyle name="百分比 5 2 7 2 3" xfId="7631"/>
    <cellStyle name="百分比 5 2 7 2 4" xfId="7632"/>
    <cellStyle name="百分比 5 2 7 2 5" xfId="7633"/>
    <cellStyle name="百分比 5 2 7 2 6" xfId="7634"/>
    <cellStyle name="百分比 5 2 7 3" xfId="7635"/>
    <cellStyle name="百分比 5 2 7 4" xfId="7636"/>
    <cellStyle name="百分比 5 2 7 5" xfId="7637"/>
    <cellStyle name="百分比 5 2 7 6" xfId="7638"/>
    <cellStyle name="百分比 5 2 7 7" xfId="7639"/>
    <cellStyle name="百分比 5 2 7 8" xfId="7640"/>
    <cellStyle name="百分比 5 2 8" xfId="7641"/>
    <cellStyle name="百分比 5 2 8 2" xfId="7642"/>
    <cellStyle name="百分比 5 2 8 3" xfId="7643"/>
    <cellStyle name="百分比 5 2 8 4" xfId="7644"/>
    <cellStyle name="百分比 5 2 8 5" xfId="7645"/>
    <cellStyle name="百分比 5 2 8 6" xfId="7646"/>
    <cellStyle name="百分比 5 2 9" xfId="7647"/>
    <cellStyle name="百分比 5 2 9 2" xfId="7648"/>
    <cellStyle name="百分比 5 3" xfId="7649"/>
    <cellStyle name="百分比 5 3 10" xfId="7650"/>
    <cellStyle name="百分比 5 3 11" xfId="7651"/>
    <cellStyle name="百分比 5 3 12" xfId="7652"/>
    <cellStyle name="百分比 5 3 13" xfId="7653"/>
    <cellStyle name="百分比 5 3 2" xfId="7654"/>
    <cellStyle name="百分比 5 3 2 10" xfId="7655"/>
    <cellStyle name="百分比 5 3 2 11" xfId="7656"/>
    <cellStyle name="百分比 5 3 2 2" xfId="7657"/>
    <cellStyle name="百分比 5 3 2 2 2" xfId="7658"/>
    <cellStyle name="百分比 5 3 2 2 2 2" xfId="7659"/>
    <cellStyle name="百分比 5 3 2 2 2 2 2" xfId="7660"/>
    <cellStyle name="百分比 5 3 2 2 2 2 3" xfId="7661"/>
    <cellStyle name="百分比 5 3 2 2 2 2 4" xfId="7662"/>
    <cellStyle name="百分比 5 3 2 2 2 2 5" xfId="7663"/>
    <cellStyle name="百分比 5 3 2 2 2 2 6" xfId="7664"/>
    <cellStyle name="百分比 5 3 2 2 2 2 7" xfId="7665"/>
    <cellStyle name="百分比 5 3 2 2 2 3" xfId="7666"/>
    <cellStyle name="百分比 5 3 2 2 2 3 2" xfId="7667"/>
    <cellStyle name="百分比 5 3 2 2 2 4" xfId="7668"/>
    <cellStyle name="百分比 5 3 2 2 2 5" xfId="7669"/>
    <cellStyle name="百分比 5 3 2 2 2 6" xfId="7670"/>
    <cellStyle name="百分比 5 3 2 2 2 7" xfId="7671"/>
    <cellStyle name="百分比 5 3 2 2 2 8" xfId="7672"/>
    <cellStyle name="百分比 5 3 2 2 3" xfId="7673"/>
    <cellStyle name="百分比 5 3 2 2 3 2" xfId="7674"/>
    <cellStyle name="百分比 5 3 2 2 3 3" xfId="7675"/>
    <cellStyle name="百分比 5 3 2 2 3 4" xfId="7676"/>
    <cellStyle name="百分比 5 3 2 2 3 5" xfId="7677"/>
    <cellStyle name="百分比 5 3 2 2 3 6" xfId="7678"/>
    <cellStyle name="百分比 5 3 2 2 3 7" xfId="7679"/>
    <cellStyle name="百分比 5 3 2 2 4" xfId="7680"/>
    <cellStyle name="百分比 5 3 2 2 4 2" xfId="7681"/>
    <cellStyle name="百分比 5 3 2 2 5" xfId="7682"/>
    <cellStyle name="百分比 5 3 2 2 6" xfId="7683"/>
    <cellStyle name="百分比 5 3 2 2 7" xfId="7684"/>
    <cellStyle name="百分比 5 3 2 2 8" xfId="7685"/>
    <cellStyle name="百分比 5 3 2 2 9" xfId="7686"/>
    <cellStyle name="百分比 5 3 2 3" xfId="7687"/>
    <cellStyle name="百分比 5 3 2 3 2" xfId="7688"/>
    <cellStyle name="百分比 5 3 2 3 2 2" xfId="7689"/>
    <cellStyle name="百分比 5 3 2 3 2 2 2" xfId="7690"/>
    <cellStyle name="百分比 5 3 2 3 2 2 3" xfId="7691"/>
    <cellStyle name="百分比 5 3 2 3 2 2 4" xfId="7692"/>
    <cellStyle name="百分比 5 3 2 3 2 2 5" xfId="7693"/>
    <cellStyle name="百分比 5 3 2 3 2 2 6" xfId="7694"/>
    <cellStyle name="百分比 5 3 2 3 2 3" xfId="7695"/>
    <cellStyle name="百分比 5 3 2 3 2 4" xfId="7696"/>
    <cellStyle name="百分比 5 3 2 3 2 5" xfId="7697"/>
    <cellStyle name="百分比 5 3 2 3 2 6" xfId="7698"/>
    <cellStyle name="百分比 5 3 2 3 2 7" xfId="7699"/>
    <cellStyle name="百分比 5 3 2 3 2 8" xfId="7700"/>
    <cellStyle name="百分比 5 3 2 3 3" xfId="7701"/>
    <cellStyle name="百分比 5 3 2 3 3 2" xfId="7702"/>
    <cellStyle name="百分比 5 3 2 3 3 3" xfId="7703"/>
    <cellStyle name="百分比 5 3 2 3 3 4" xfId="7704"/>
    <cellStyle name="百分比 5 3 2 3 3 5" xfId="7705"/>
    <cellStyle name="百分比 5 3 2 3 3 6" xfId="7706"/>
    <cellStyle name="百分比 5 3 2 3 3 7" xfId="7707"/>
    <cellStyle name="百分比 5 3 2 3 4" xfId="7708"/>
    <cellStyle name="百分比 5 3 2 3 5" xfId="7709"/>
    <cellStyle name="百分比 5 3 2 3 6" xfId="7710"/>
    <cellStyle name="百分比 5 3 2 3 7" xfId="7711"/>
    <cellStyle name="百分比 5 3 2 3 8" xfId="7712"/>
    <cellStyle name="百分比 5 3 2 3 9" xfId="7713"/>
    <cellStyle name="百分比 5 3 2 4" xfId="7714"/>
    <cellStyle name="百分比 5 3 2 4 2" xfId="7715"/>
    <cellStyle name="百分比 5 3 2 4 2 2" xfId="7716"/>
    <cellStyle name="百分比 5 3 2 4 2 3" xfId="7717"/>
    <cellStyle name="百分比 5 3 2 4 2 4" xfId="7718"/>
    <cellStyle name="百分比 5 3 2 4 2 5" xfId="7719"/>
    <cellStyle name="百分比 5 3 2 4 2 6" xfId="7720"/>
    <cellStyle name="百分比 5 3 2 4 3" xfId="7721"/>
    <cellStyle name="百分比 5 3 2 4 4" xfId="7722"/>
    <cellStyle name="百分比 5 3 2 4 5" xfId="7723"/>
    <cellStyle name="百分比 5 3 2 4 6" xfId="7724"/>
    <cellStyle name="百分比 5 3 2 4 7" xfId="7725"/>
    <cellStyle name="百分比 5 3 2 4 8" xfId="7726"/>
    <cellStyle name="百分比 5 3 2 5" xfId="7727"/>
    <cellStyle name="百分比 5 3 2 5 2" xfId="7728"/>
    <cellStyle name="百分比 5 3 2 5 3" xfId="7729"/>
    <cellStyle name="百分比 5 3 2 5 4" xfId="7730"/>
    <cellStyle name="百分比 5 3 2 5 5" xfId="7731"/>
    <cellStyle name="百分比 5 3 2 5 6" xfId="7732"/>
    <cellStyle name="百分比 5 3 2 5 7" xfId="7733"/>
    <cellStyle name="百分比 5 3 2 6" xfId="7734"/>
    <cellStyle name="百分比 5 3 2 7" xfId="7735"/>
    <cellStyle name="百分比 5 3 2 8" xfId="7736"/>
    <cellStyle name="百分比 5 3 2 9" xfId="7737"/>
    <cellStyle name="百分比 5 3 3" xfId="7738"/>
    <cellStyle name="百分比 5 3 3 2" xfId="7739"/>
    <cellStyle name="百分比 5 3 3 2 2" xfId="7740"/>
    <cellStyle name="百分比 5 3 3 2 2 2" xfId="7741"/>
    <cellStyle name="百分比 5 3 3 2 2 3" xfId="7742"/>
    <cellStyle name="百分比 5 3 3 2 2 4" xfId="7743"/>
    <cellStyle name="百分比 5 3 3 2 2 5" xfId="7744"/>
    <cellStyle name="百分比 5 3 3 2 2 6" xfId="7745"/>
    <cellStyle name="百分比 5 3 3 2 2 7" xfId="7746"/>
    <cellStyle name="百分比 5 3 3 2 3" xfId="7747"/>
    <cellStyle name="百分比 5 3 3 2 3 2" xfId="7748"/>
    <cellStyle name="百分比 5 3 3 2 4" xfId="7749"/>
    <cellStyle name="百分比 5 3 3 2 5" xfId="7750"/>
    <cellStyle name="百分比 5 3 3 2 6" xfId="7751"/>
    <cellStyle name="百分比 5 3 3 2 7" xfId="7752"/>
    <cellStyle name="百分比 5 3 3 2 8" xfId="7753"/>
    <cellStyle name="百分比 5 3 3 3" xfId="7754"/>
    <cellStyle name="百分比 5 3 3 3 2" xfId="7755"/>
    <cellStyle name="百分比 5 3 3 3 2 2" xfId="7756"/>
    <cellStyle name="百分比 5 3 3 3 3" xfId="7757"/>
    <cellStyle name="百分比 5 3 3 3 3 2" xfId="7758"/>
    <cellStyle name="百分比 5 3 3 3 4" xfId="7759"/>
    <cellStyle name="百分比 5 3 3 3 5" xfId="7760"/>
    <cellStyle name="百分比 5 3 3 3 6" xfId="7761"/>
    <cellStyle name="百分比 5 3 3 3 7" xfId="7762"/>
    <cellStyle name="百分比 5 3 3 4" xfId="7763"/>
    <cellStyle name="百分比 5 3 3 4 2" xfId="7764"/>
    <cellStyle name="百分比 5 3 3 5" xfId="7765"/>
    <cellStyle name="百分比 5 3 3 5 2" xfId="7766"/>
    <cellStyle name="百分比 5 3 3 6" xfId="7767"/>
    <cellStyle name="百分比 5 3 3 7" xfId="7768"/>
    <cellStyle name="百分比 5 3 3 8" xfId="7769"/>
    <cellStyle name="百分比 5 3 3 9" xfId="7770"/>
    <cellStyle name="百分比 5 3 4" xfId="7771"/>
    <cellStyle name="百分比 5 3 4 2" xfId="7772"/>
    <cellStyle name="百分比 5 3 4 2 2" xfId="7773"/>
    <cellStyle name="百分比 5 3 4 2 2 2" xfId="7774"/>
    <cellStyle name="百分比 5 3 4 2 2 3" xfId="7775"/>
    <cellStyle name="百分比 5 3 4 2 2 4" xfId="7776"/>
    <cellStyle name="百分比 5 3 4 2 2 5" xfId="7777"/>
    <cellStyle name="百分比 5 3 4 2 2 6" xfId="7778"/>
    <cellStyle name="百分比 5 3 4 2 3" xfId="7779"/>
    <cellStyle name="百分比 5 3 4 2 4" xfId="7780"/>
    <cellStyle name="百分比 5 3 4 2 5" xfId="7781"/>
    <cellStyle name="百分比 5 3 4 2 6" xfId="7782"/>
    <cellStyle name="百分比 5 3 4 2 7" xfId="7783"/>
    <cellStyle name="百分比 5 3 4 2 8" xfId="7784"/>
    <cellStyle name="百分比 5 3 4 3" xfId="7785"/>
    <cellStyle name="百分比 5 3 4 3 2" xfId="7786"/>
    <cellStyle name="百分比 5 3 4 3 3" xfId="7787"/>
    <cellStyle name="百分比 5 3 4 3 4" xfId="7788"/>
    <cellStyle name="百分比 5 3 4 3 5" xfId="7789"/>
    <cellStyle name="百分比 5 3 4 3 6" xfId="7790"/>
    <cellStyle name="百分比 5 3 4 3 7" xfId="7791"/>
    <cellStyle name="百分比 5 3 4 4" xfId="7792"/>
    <cellStyle name="百分比 5 3 4 5" xfId="7793"/>
    <cellStyle name="百分比 5 3 4 6" xfId="7794"/>
    <cellStyle name="百分比 5 3 4 7" xfId="7795"/>
    <cellStyle name="百分比 5 3 4 8" xfId="7796"/>
    <cellStyle name="百分比 5 3 4 9" xfId="7797"/>
    <cellStyle name="百分比 5 3 5" xfId="7798"/>
    <cellStyle name="百分比 5 3 5 2" xfId="7799"/>
    <cellStyle name="百分比 5 3 5 2 2" xfId="7800"/>
    <cellStyle name="百分比 5 3 5 2 3" xfId="7801"/>
    <cellStyle name="百分比 5 3 5 2 4" xfId="7802"/>
    <cellStyle name="百分比 5 3 5 2 5" xfId="7803"/>
    <cellStyle name="百分比 5 3 5 2 6" xfId="7804"/>
    <cellStyle name="百分比 5 3 5 2 7" xfId="7805"/>
    <cellStyle name="百分比 5 3 5 3" xfId="7806"/>
    <cellStyle name="百分比 5 3 5 3 2" xfId="7807"/>
    <cellStyle name="百分比 5 3 5 4" xfId="7808"/>
    <cellStyle name="百分比 5 3 5 5" xfId="7809"/>
    <cellStyle name="百分比 5 3 5 6" xfId="7810"/>
    <cellStyle name="百分比 5 3 5 7" xfId="7811"/>
    <cellStyle name="百分比 5 3 5 8" xfId="7812"/>
    <cellStyle name="百分比 5 3 6" xfId="7813"/>
    <cellStyle name="百分比 5 3 6 2" xfId="7814"/>
    <cellStyle name="百分比 5 3 6 2 2" xfId="7815"/>
    <cellStyle name="百分比 5 3 6 2 3" xfId="7816"/>
    <cellStyle name="百分比 5 3 6 2 4" xfId="7817"/>
    <cellStyle name="百分比 5 3 6 2 5" xfId="7818"/>
    <cellStyle name="百分比 5 3 6 2 6" xfId="7819"/>
    <cellStyle name="百分比 5 3 6 3" xfId="7820"/>
    <cellStyle name="百分比 5 3 6 4" xfId="7821"/>
    <cellStyle name="百分比 5 3 6 5" xfId="7822"/>
    <cellStyle name="百分比 5 3 6 6" xfId="7823"/>
    <cellStyle name="百分比 5 3 6 7" xfId="7824"/>
    <cellStyle name="百分比 5 3 6 8" xfId="7825"/>
    <cellStyle name="百分比 5 3 7" xfId="7826"/>
    <cellStyle name="百分比 5 3 7 2" xfId="7827"/>
    <cellStyle name="百分比 5 3 7 3" xfId="7828"/>
    <cellStyle name="百分比 5 3 7 4" xfId="7829"/>
    <cellStyle name="百分比 5 3 7 5" xfId="7830"/>
    <cellStyle name="百分比 5 3 7 6" xfId="7831"/>
    <cellStyle name="百分比 5 3 7 7" xfId="7832"/>
    <cellStyle name="百分比 5 3 8" xfId="7833"/>
    <cellStyle name="百分比 5 3 9" xfId="7834"/>
    <cellStyle name="百分比 5 3 9 2" xfId="7835"/>
    <cellStyle name="百分比 5 4" xfId="7836"/>
    <cellStyle name="百分比 5 4 2" xfId="7837"/>
    <cellStyle name="百分比 5 4 2 2" xfId="7838"/>
    <cellStyle name="百分比 5 4 2 2 2" xfId="7839"/>
    <cellStyle name="百分比 5 4 2 2 2 2" xfId="7840"/>
    <cellStyle name="百分比 5 4 2 2 3" xfId="7841"/>
    <cellStyle name="百分比 5 4 2 2 4" xfId="7842"/>
    <cellStyle name="百分比 5 4 2 3" xfId="7843"/>
    <cellStyle name="百分比 5 4 2 3 2" xfId="7844"/>
    <cellStyle name="百分比 5 4 2 3 2 2" xfId="7845"/>
    <cellStyle name="百分比 5 4 2 3 3" xfId="7846"/>
    <cellStyle name="百分比 5 4 2 3 4" xfId="7847"/>
    <cellStyle name="百分比 5 4 2 4" xfId="7848"/>
    <cellStyle name="百分比 5 4 2 4 2" xfId="7849"/>
    <cellStyle name="百分比 5 4 2 5" xfId="7850"/>
    <cellStyle name="百分比 5 4 2 6" xfId="7851"/>
    <cellStyle name="百分比 5 4 3" xfId="7852"/>
    <cellStyle name="百分比 5 4 3 2" xfId="7853"/>
    <cellStyle name="百分比 5 4 3 2 2" xfId="7854"/>
    <cellStyle name="百分比 5 4 3 3" xfId="7855"/>
    <cellStyle name="百分比 5 4 3 4" xfId="7856"/>
    <cellStyle name="百分比 5 4 4" xfId="7857"/>
    <cellStyle name="百分比 5 4 4 2" xfId="7858"/>
    <cellStyle name="百分比 5 4 4 2 2" xfId="7859"/>
    <cellStyle name="百分比 5 4 4 3" xfId="7860"/>
    <cellStyle name="百分比 5 4 4 4" xfId="7861"/>
    <cellStyle name="百分比 5 4 5" xfId="7862"/>
    <cellStyle name="百分比 5 4 5 2" xfId="7863"/>
    <cellStyle name="百分比 5 4 6" xfId="7864"/>
    <cellStyle name="百分比 5 4 7" xfId="7865"/>
    <cellStyle name="百分比 5 4 8" xfId="7866"/>
    <cellStyle name="百分比 5 5" xfId="7867"/>
    <cellStyle name="百分比 5 5 2" xfId="7868"/>
    <cellStyle name="百分比 5 5 2 2" xfId="7869"/>
    <cellStyle name="百分比 5 5 2 2 2" xfId="7870"/>
    <cellStyle name="百分比 5 5 2 2 2 2" xfId="7871"/>
    <cellStyle name="百分比 5 5 2 2 3" xfId="7872"/>
    <cellStyle name="百分比 5 5 2 2 4" xfId="7873"/>
    <cellStyle name="百分比 5 5 2 3" xfId="7874"/>
    <cellStyle name="百分比 5 5 2 3 2" xfId="7875"/>
    <cellStyle name="百分比 5 5 2 4" xfId="7876"/>
    <cellStyle name="百分比 5 5 2 5" xfId="7877"/>
    <cellStyle name="百分比 5 5 3" xfId="7878"/>
    <cellStyle name="百分比 5 5 3 2" xfId="7879"/>
    <cellStyle name="百分比 5 5 3 2 2" xfId="7880"/>
    <cellStyle name="百分比 5 5 3 3" xfId="7881"/>
    <cellStyle name="百分比 5 5 3 4" xfId="7882"/>
    <cellStyle name="百分比 5 5 4" xfId="7883"/>
    <cellStyle name="百分比 5 5 4 2" xfId="7884"/>
    <cellStyle name="百分比 5 5 5" xfId="7885"/>
    <cellStyle name="百分比 5 5 6" xfId="7886"/>
    <cellStyle name="百分比 5 5 7" xfId="7887"/>
    <cellStyle name="百分比 5 6" xfId="7888"/>
    <cellStyle name="百分比 5 6 2" xfId="7889"/>
    <cellStyle name="百分比 5 6 2 2" xfId="7890"/>
    <cellStyle name="百分比 5 6 2 2 2" xfId="7891"/>
    <cellStyle name="百分比 5 6 2 3" xfId="7892"/>
    <cellStyle name="百分比 5 6 2 4" xfId="7893"/>
    <cellStyle name="百分比 5 6 3" xfId="7894"/>
    <cellStyle name="百分比 5 6 3 2" xfId="7895"/>
    <cellStyle name="百分比 5 6 3 2 2" xfId="7896"/>
    <cellStyle name="百分比 5 6 3 3" xfId="7897"/>
    <cellStyle name="百分比 5 6 3 4" xfId="7898"/>
    <cellStyle name="百分比 5 6 4" xfId="7899"/>
    <cellStyle name="百分比 5 6 4 2" xfId="7900"/>
    <cellStyle name="百分比 5 6 5" xfId="7901"/>
    <cellStyle name="百分比 5 6 6" xfId="7902"/>
    <cellStyle name="百分比 5 7" xfId="7903"/>
    <cellStyle name="百分比 5 7 2" xfId="7904"/>
    <cellStyle name="百分比 5 8" xfId="7905"/>
    <cellStyle name="百分比 5 8 2" xfId="7906"/>
    <cellStyle name="百分比 5 8 2 2" xfId="7907"/>
    <cellStyle name="百分比 5 8 3" xfId="7908"/>
    <cellStyle name="百分比 5 8 3 2" xfId="7909"/>
    <cellStyle name="百分比 5 8 4" xfId="7910"/>
    <cellStyle name="百分比 5 8 5" xfId="7911"/>
    <cellStyle name="百分比 5 8 6" xfId="7912"/>
    <cellStyle name="百分比 5 8 7" xfId="7913"/>
    <cellStyle name="百分比 5 9" xfId="7914"/>
    <cellStyle name="百分比 5 9 2" xfId="7915"/>
    <cellStyle name="百分比 5 9 2 2" xfId="7916"/>
    <cellStyle name="百分比 5 9 3" xfId="7917"/>
    <cellStyle name="百分比 5 9 4" xfId="7918"/>
    <cellStyle name="百分比 5 9 5" xfId="7919"/>
    <cellStyle name="百分比 6" xfId="7920"/>
    <cellStyle name="百分比 6 10" xfId="7921"/>
    <cellStyle name="百分比 6 11" xfId="7922"/>
    <cellStyle name="百分比 6 11 2" xfId="7923"/>
    <cellStyle name="百分比 6 12" xfId="7924"/>
    <cellStyle name="百分比 6 13" xfId="7925"/>
    <cellStyle name="百分比 6 2" xfId="7926"/>
    <cellStyle name="百分比 6 2 2" xfId="7927"/>
    <cellStyle name="百分比 6 2 2 2" xfId="7928"/>
    <cellStyle name="百分比 6 2 2 2 2" xfId="7929"/>
    <cellStyle name="百分比 6 2 2 2 2 2" xfId="7930"/>
    <cellStyle name="百分比 6 2 2 2 2 2 2" xfId="7931"/>
    <cellStyle name="百分比 6 2 2 2 2 3" xfId="7932"/>
    <cellStyle name="百分比 6 2 2 2 2 4" xfId="7933"/>
    <cellStyle name="百分比 6 2 2 2 3" xfId="7934"/>
    <cellStyle name="百分比 6 2 2 2 3 2" xfId="7935"/>
    <cellStyle name="百分比 6 2 2 2 3 2 2" xfId="7936"/>
    <cellStyle name="百分比 6 2 2 2 3 3" xfId="7937"/>
    <cellStyle name="百分比 6 2 2 2 3 4" xfId="7938"/>
    <cellStyle name="百分比 6 2 2 2 4" xfId="7939"/>
    <cellStyle name="百分比 6 2 2 2 4 2" xfId="7940"/>
    <cellStyle name="百分比 6 2 2 2 5" xfId="7941"/>
    <cellStyle name="百分比 6 2 2 2 6" xfId="7942"/>
    <cellStyle name="百分比 6 2 2 3" xfId="7943"/>
    <cellStyle name="百分比 6 2 2 3 2" xfId="7944"/>
    <cellStyle name="百分比 6 2 2 3 2 2" xfId="7945"/>
    <cellStyle name="百分比 6 2 2 3 3" xfId="7946"/>
    <cellStyle name="百分比 6 2 2 3 3 2" xfId="7947"/>
    <cellStyle name="百分比 6 2 2 3 4" xfId="7948"/>
    <cellStyle name="百分比 6 2 2 3 5" xfId="7949"/>
    <cellStyle name="百分比 6 2 2 3 6" xfId="7950"/>
    <cellStyle name="百分比 6 2 2 3 7" xfId="7951"/>
    <cellStyle name="百分比 6 2 2 4" xfId="7952"/>
    <cellStyle name="百分比 6 2 2 4 2" xfId="7953"/>
    <cellStyle name="百分比 6 2 2 4 2 2" xfId="7954"/>
    <cellStyle name="百分比 6 2 2 4 3" xfId="7955"/>
    <cellStyle name="百分比 6 2 2 4 4" xfId="7956"/>
    <cellStyle name="百分比 6 2 2 4 5" xfId="7957"/>
    <cellStyle name="百分比 6 2 2 5" xfId="7958"/>
    <cellStyle name="百分比 6 2 2 5 2" xfId="7959"/>
    <cellStyle name="百分比 6 2 2 6" xfId="7960"/>
    <cellStyle name="百分比 6 2 2 6 2" xfId="7961"/>
    <cellStyle name="百分比 6 2 2 7" xfId="7962"/>
    <cellStyle name="百分比 6 2 2 8" xfId="7963"/>
    <cellStyle name="百分比 6 2 3" xfId="7964"/>
    <cellStyle name="百分比 6 2 3 2" xfId="7965"/>
    <cellStyle name="百分比 6 2 3 2 2" xfId="7966"/>
    <cellStyle name="百分比 6 2 3 2 2 2" xfId="7967"/>
    <cellStyle name="百分比 6 2 3 2 3" xfId="7968"/>
    <cellStyle name="百分比 6 2 3 2 3 2" xfId="7969"/>
    <cellStyle name="百分比 6 2 3 2 4" xfId="7970"/>
    <cellStyle name="百分比 6 2 3 2 5" xfId="7971"/>
    <cellStyle name="百分比 6 2 3 2 6" xfId="7972"/>
    <cellStyle name="百分比 6 2 3 2 7" xfId="7973"/>
    <cellStyle name="百分比 6 2 3 3" xfId="7974"/>
    <cellStyle name="百分比 6 2 3 3 2" xfId="7975"/>
    <cellStyle name="百分比 6 2 3 3 2 2" xfId="7976"/>
    <cellStyle name="百分比 6 2 3 3 3" xfId="7977"/>
    <cellStyle name="百分比 6 2 3 3 4" xfId="7978"/>
    <cellStyle name="百分比 6 2 3 3 5" xfId="7979"/>
    <cellStyle name="百分比 6 2 3 4" xfId="7980"/>
    <cellStyle name="百分比 6 2 3 4 2" xfId="7981"/>
    <cellStyle name="百分比 6 2 3 5" xfId="7982"/>
    <cellStyle name="百分比 6 2 3 5 2" xfId="7983"/>
    <cellStyle name="百分比 6 2 3 6" xfId="7984"/>
    <cellStyle name="百分比 6 2 3 7" xfId="7985"/>
    <cellStyle name="百分比 6 2 3 8" xfId="7986"/>
    <cellStyle name="百分比 6 2 4" xfId="7987"/>
    <cellStyle name="百分比 6 2 4 2" xfId="7988"/>
    <cellStyle name="百分比 6 2 4 2 2" xfId="7989"/>
    <cellStyle name="百分比 6 2 4 3" xfId="7990"/>
    <cellStyle name="百分比 6 2 4 3 2" xfId="7991"/>
    <cellStyle name="百分比 6 2 4 4" xfId="7992"/>
    <cellStyle name="百分比 6 2 4 5" xfId="7993"/>
    <cellStyle name="百分比 6 2 4 6" xfId="7994"/>
    <cellStyle name="百分比 6 2 4 7" xfId="7995"/>
    <cellStyle name="百分比 6 2 5" xfId="7996"/>
    <cellStyle name="百分比 6 2 5 2" xfId="7997"/>
    <cellStyle name="百分比 6 2 5 2 2" xfId="7998"/>
    <cellStyle name="百分比 6 2 5 3" xfId="7999"/>
    <cellStyle name="百分比 6 2 5 4" xfId="8000"/>
    <cellStyle name="百分比 6 2 5 5" xfId="8001"/>
    <cellStyle name="百分比 6 2 6" xfId="8002"/>
    <cellStyle name="百分比 6 2 6 2" xfId="8003"/>
    <cellStyle name="百分比 6 2 7" xfId="8004"/>
    <cellStyle name="百分比 6 2 7 2" xfId="8005"/>
    <cellStyle name="百分比 6 2 8" xfId="8006"/>
    <cellStyle name="百分比 6 2 9" xfId="8007"/>
    <cellStyle name="百分比 6 2 9 2" xfId="8008"/>
    <cellStyle name="百分比 6 3" xfId="8009"/>
    <cellStyle name="百分比 6 3 2" xfId="8010"/>
    <cellStyle name="百分比 6 3 2 2" xfId="8011"/>
    <cellStyle name="百分比 6 3 2 2 2" xfId="8012"/>
    <cellStyle name="百分比 6 3 2 2 2 2" xfId="8013"/>
    <cellStyle name="百分比 6 3 2 2 2 2 2" xfId="8014"/>
    <cellStyle name="百分比 6 3 2 2 2 3" xfId="8015"/>
    <cellStyle name="百分比 6 3 2 2 2 4" xfId="8016"/>
    <cellStyle name="百分比 6 3 2 2 3" xfId="8017"/>
    <cellStyle name="百分比 6 3 2 2 3 2" xfId="8018"/>
    <cellStyle name="百分比 6 3 2 2 4" xfId="8019"/>
    <cellStyle name="百分比 6 3 2 2 5" xfId="8020"/>
    <cellStyle name="百分比 6 3 2 3" xfId="8021"/>
    <cellStyle name="百分比 6 3 2 3 2" xfId="8022"/>
    <cellStyle name="百分比 6 3 2 3 2 2" xfId="8023"/>
    <cellStyle name="百分比 6 3 2 3 3" xfId="8024"/>
    <cellStyle name="百分比 6 3 2 3 4" xfId="8025"/>
    <cellStyle name="百分比 6 3 2 4" xfId="8026"/>
    <cellStyle name="百分比 6 3 2 4 2" xfId="8027"/>
    <cellStyle name="百分比 6 3 2 5" xfId="8028"/>
    <cellStyle name="百分比 6 3 2 6" xfId="8029"/>
    <cellStyle name="百分比 6 3 2 7" xfId="8030"/>
    <cellStyle name="百分比 6 3 3" xfId="8031"/>
    <cellStyle name="百分比 6 3 3 2" xfId="8032"/>
    <cellStyle name="百分比 6 3 3 2 2" xfId="8033"/>
    <cellStyle name="百分比 6 3 3 2 2 2" xfId="8034"/>
    <cellStyle name="百分比 6 3 3 2 3" xfId="8035"/>
    <cellStyle name="百分比 6 3 3 2 4" xfId="8036"/>
    <cellStyle name="百分比 6 3 3 2 5" xfId="8037"/>
    <cellStyle name="百分比 6 3 3 3" xfId="8038"/>
    <cellStyle name="百分比 6 3 3 3 2" xfId="8039"/>
    <cellStyle name="百分比 6 3 3 3 2 2" xfId="8040"/>
    <cellStyle name="百分比 6 3 3 3 3" xfId="8041"/>
    <cellStyle name="百分比 6 3 3 3 4" xfId="8042"/>
    <cellStyle name="百分比 6 3 3 3 5" xfId="8043"/>
    <cellStyle name="百分比 6 3 3 4" xfId="8044"/>
    <cellStyle name="百分比 6 3 3 4 2" xfId="8045"/>
    <cellStyle name="百分比 6 3 3 5" xfId="8046"/>
    <cellStyle name="百分比 6 3 3 5 2" xfId="8047"/>
    <cellStyle name="百分比 6 3 3 6" xfId="8048"/>
    <cellStyle name="百分比 6 3 3 7" xfId="8049"/>
    <cellStyle name="百分比 6 3 4" xfId="8050"/>
    <cellStyle name="百分比 6 3 4 2" xfId="8051"/>
    <cellStyle name="百分比 6 3 4 2 2" xfId="8052"/>
    <cellStyle name="百分比 6 3 4 3" xfId="8053"/>
    <cellStyle name="百分比 6 3 4 4" xfId="8054"/>
    <cellStyle name="百分比 6 3 4 5" xfId="8055"/>
    <cellStyle name="百分比 6 3 5" xfId="8056"/>
    <cellStyle name="百分比 6 3 5 2" xfId="8057"/>
    <cellStyle name="百分比 6 3 5 2 2" xfId="8058"/>
    <cellStyle name="百分比 6 3 5 3" xfId="8059"/>
    <cellStyle name="百分比 6 3 5 4" xfId="8060"/>
    <cellStyle name="百分比 6 3 5 5" xfId="8061"/>
    <cellStyle name="百分比 6 3 6" xfId="8062"/>
    <cellStyle name="百分比 6 3 6 2" xfId="8063"/>
    <cellStyle name="百分比 6 3 7" xfId="8064"/>
    <cellStyle name="百分比 6 3 7 2" xfId="8065"/>
    <cellStyle name="百分比 6 3 8" xfId="8066"/>
    <cellStyle name="百分比 6 3 9" xfId="8067"/>
    <cellStyle name="百分比 6 4" xfId="8068"/>
    <cellStyle name="百分比 6 4 2" xfId="8069"/>
    <cellStyle name="百分比 6 4 2 2" xfId="8070"/>
    <cellStyle name="百分比 6 4 2 2 2" xfId="8071"/>
    <cellStyle name="百分比 6 4 2 2 2 2" xfId="8072"/>
    <cellStyle name="百分比 6 4 2 2 3" xfId="8073"/>
    <cellStyle name="百分比 6 4 2 2 4" xfId="8074"/>
    <cellStyle name="百分比 6 4 2 3" xfId="8075"/>
    <cellStyle name="百分比 6 4 2 3 2" xfId="8076"/>
    <cellStyle name="百分比 6 4 2 3 2 2" xfId="8077"/>
    <cellStyle name="百分比 6 4 2 3 3" xfId="8078"/>
    <cellStyle name="百分比 6 4 2 3 4" xfId="8079"/>
    <cellStyle name="百分比 6 4 2 4" xfId="8080"/>
    <cellStyle name="百分比 6 4 2 4 2" xfId="8081"/>
    <cellStyle name="百分比 6 4 2 5" xfId="8082"/>
    <cellStyle name="百分比 6 4 2 6" xfId="8083"/>
    <cellStyle name="百分比 6 4 3" xfId="8084"/>
    <cellStyle name="百分比 6 4 3 2" xfId="8085"/>
    <cellStyle name="百分比 6 4 3 2 2" xfId="8086"/>
    <cellStyle name="百分比 6 4 3 3" xfId="8087"/>
    <cellStyle name="百分比 6 4 3 4" xfId="8088"/>
    <cellStyle name="百分比 6 4 4" xfId="8089"/>
    <cellStyle name="百分比 6 4 4 2" xfId="8090"/>
    <cellStyle name="百分比 6 4 4 2 2" xfId="8091"/>
    <cellStyle name="百分比 6 4 4 3" xfId="8092"/>
    <cellStyle name="百分比 6 4 4 4" xfId="8093"/>
    <cellStyle name="百分比 6 4 5" xfId="8094"/>
    <cellStyle name="百分比 6 4 5 2" xfId="8095"/>
    <cellStyle name="百分比 6 4 6" xfId="8096"/>
    <cellStyle name="百分比 6 4 7" xfId="8097"/>
    <cellStyle name="百分比 6 4 8" xfId="8098"/>
    <cellStyle name="百分比 6 5" xfId="8099"/>
    <cellStyle name="百分比 6 5 2" xfId="8100"/>
    <cellStyle name="百分比 6 5 2 2" xfId="8101"/>
    <cellStyle name="百分比 6 5 2 2 2" xfId="8102"/>
    <cellStyle name="百分比 6 5 2 3" xfId="8103"/>
    <cellStyle name="百分比 6 5 2 4" xfId="8104"/>
    <cellStyle name="百分比 6 5 3" xfId="8105"/>
    <cellStyle name="百分比 6 5 4" xfId="8106"/>
    <cellStyle name="百分比 6 5 4 2" xfId="8107"/>
    <cellStyle name="百分比 6 5 5" xfId="8108"/>
    <cellStyle name="百分比 6 5 6" xfId="8109"/>
    <cellStyle name="百分比 6 6" xfId="8110"/>
    <cellStyle name="百分比 6 6 2" xfId="8111"/>
    <cellStyle name="百分比 6 6 2 2" xfId="8112"/>
    <cellStyle name="百分比 6 6 2 2 2" xfId="8113"/>
    <cellStyle name="百分比 6 6 2 3" xfId="8114"/>
    <cellStyle name="百分比 6 6 2 4" xfId="8115"/>
    <cellStyle name="百分比 6 6 3" xfId="8116"/>
    <cellStyle name="百分比 6 6 3 2" xfId="8117"/>
    <cellStyle name="百分比 6 6 4" xfId="8118"/>
    <cellStyle name="百分比 6 6 5" xfId="8119"/>
    <cellStyle name="百分比 6 6 6" xfId="8120"/>
    <cellStyle name="百分比 6 7" xfId="8121"/>
    <cellStyle name="百分比 6 7 2" xfId="8122"/>
    <cellStyle name="百分比 6 7 2 2" xfId="8123"/>
    <cellStyle name="百分比 6 7 3" xfId="8124"/>
    <cellStyle name="百分比 6 7 3 2" xfId="8125"/>
    <cellStyle name="百分比 6 7 4" xfId="8126"/>
    <cellStyle name="百分比 6 7 5" xfId="8127"/>
    <cellStyle name="百分比 6 7 6" xfId="8128"/>
    <cellStyle name="百分比 6 7 7" xfId="8129"/>
    <cellStyle name="百分比 6 8" xfId="8130"/>
    <cellStyle name="百分比 6 8 2" xfId="8131"/>
    <cellStyle name="百分比 6 9" xfId="8132"/>
    <cellStyle name="百分比 6 9 2" xfId="8133"/>
    <cellStyle name="百分比 7" xfId="8134"/>
    <cellStyle name="百分比 7 10" xfId="8135"/>
    <cellStyle name="百分比 7 11" xfId="8136"/>
    <cellStyle name="百分比 7 11 2" xfId="8137"/>
    <cellStyle name="百分比 7 2" xfId="8138"/>
    <cellStyle name="百分比 7 2 10" xfId="8139"/>
    <cellStyle name="百分比 7 2 2" xfId="8140"/>
    <cellStyle name="百分比 7 2 2 2" xfId="8141"/>
    <cellStyle name="百分比 7 2 2 2 2" xfId="8142"/>
    <cellStyle name="百分比 7 2 2 2 2 2" xfId="8143"/>
    <cellStyle name="百分比 7 2 2 2 2 2 2" xfId="8144"/>
    <cellStyle name="百分比 7 2 2 2 2 3" xfId="8145"/>
    <cellStyle name="百分比 7 2 2 2 2 4" xfId="8146"/>
    <cellStyle name="百分比 7 2 2 2 2 5" xfId="8147"/>
    <cellStyle name="百分比 7 2 2 2 3" xfId="8148"/>
    <cellStyle name="百分比 7 2 2 2 3 2" xfId="8149"/>
    <cellStyle name="百分比 7 2 2 2 3 2 2" xfId="8150"/>
    <cellStyle name="百分比 7 2 2 2 3 3" xfId="8151"/>
    <cellStyle name="百分比 7 2 2 2 3 4" xfId="8152"/>
    <cellStyle name="百分比 7 2 2 2 3 5" xfId="8153"/>
    <cellStyle name="百分比 7 2 2 2 4" xfId="8154"/>
    <cellStyle name="百分比 7 2 2 2 4 2" xfId="8155"/>
    <cellStyle name="百分比 7 2 2 2 5" xfId="8156"/>
    <cellStyle name="百分比 7 2 2 2 5 2" xfId="8157"/>
    <cellStyle name="百分比 7 2 2 2 6" xfId="8158"/>
    <cellStyle name="百分比 7 2 2 2 7" xfId="8159"/>
    <cellStyle name="百分比 7 2 2 3" xfId="8160"/>
    <cellStyle name="百分比 7 2 2 3 2" xfId="8161"/>
    <cellStyle name="百分比 7 2 2 3 2 2" xfId="8162"/>
    <cellStyle name="百分比 7 2 2 3 3" xfId="8163"/>
    <cellStyle name="百分比 7 2 2 3 4" xfId="8164"/>
    <cellStyle name="百分比 7 2 2 3 5" xfId="8165"/>
    <cellStyle name="百分比 7 2 2 4" xfId="8166"/>
    <cellStyle name="百分比 7 2 2 4 2" xfId="8167"/>
    <cellStyle name="百分比 7 2 2 4 2 2" xfId="8168"/>
    <cellStyle name="百分比 7 2 2 4 3" xfId="8169"/>
    <cellStyle name="百分比 7 2 2 4 4" xfId="8170"/>
    <cellStyle name="百分比 7 2 2 4 5" xfId="8171"/>
    <cellStyle name="百分比 7 2 2 5" xfId="8172"/>
    <cellStyle name="百分比 7 2 2 5 2" xfId="8173"/>
    <cellStyle name="百分比 7 2 2 6" xfId="8174"/>
    <cellStyle name="百分比 7 2 2 6 2" xfId="8175"/>
    <cellStyle name="百分比 7 2 2 7" xfId="8176"/>
    <cellStyle name="百分比 7 2 2 8" xfId="8177"/>
    <cellStyle name="百分比 7 2 3" xfId="8178"/>
    <cellStyle name="百分比 7 2 3 2" xfId="8179"/>
    <cellStyle name="百分比 7 2 3 2 2" xfId="8180"/>
    <cellStyle name="百分比 7 2 3 2 2 2" xfId="8181"/>
    <cellStyle name="百分比 7 2 3 2 3" xfId="8182"/>
    <cellStyle name="百分比 7 2 3 2 3 2" xfId="8183"/>
    <cellStyle name="百分比 7 2 3 2 4" xfId="8184"/>
    <cellStyle name="百分比 7 2 3 2 5" xfId="8185"/>
    <cellStyle name="百分比 7 2 3 2 6" xfId="8186"/>
    <cellStyle name="百分比 7 2 3 2 7" xfId="8187"/>
    <cellStyle name="百分比 7 2 3 3" xfId="8188"/>
    <cellStyle name="百分比 7 2 3 3 2" xfId="8189"/>
    <cellStyle name="百分比 7 2 3 3 2 2" xfId="8190"/>
    <cellStyle name="百分比 7 2 3 3 3" xfId="8191"/>
    <cellStyle name="百分比 7 2 3 3 4" xfId="8192"/>
    <cellStyle name="百分比 7 2 3 3 5" xfId="8193"/>
    <cellStyle name="百分比 7 2 3 4" xfId="8194"/>
    <cellStyle name="百分比 7 2 3 4 2" xfId="8195"/>
    <cellStyle name="百分比 7 2 3 5" xfId="8196"/>
    <cellStyle name="百分比 7 2 3 5 2" xfId="8197"/>
    <cellStyle name="百分比 7 2 3 6" xfId="8198"/>
    <cellStyle name="百分比 7 2 3 7" xfId="8199"/>
    <cellStyle name="百分比 7 2 3 8" xfId="8200"/>
    <cellStyle name="百分比 7 2 4" xfId="8201"/>
    <cellStyle name="百分比 7 2 4 2" xfId="8202"/>
    <cellStyle name="百分比 7 2 4 2 2" xfId="8203"/>
    <cellStyle name="百分比 7 2 4 3" xfId="8204"/>
    <cellStyle name="百分比 7 2 4 3 2" xfId="8205"/>
    <cellStyle name="百分比 7 2 4 4" xfId="8206"/>
    <cellStyle name="百分比 7 2 4 5" xfId="8207"/>
    <cellStyle name="百分比 7 2 4 6" xfId="8208"/>
    <cellStyle name="百分比 7 2 4 7" xfId="8209"/>
    <cellStyle name="百分比 7 2 5" xfId="8210"/>
    <cellStyle name="百分比 7 2 5 2" xfId="8211"/>
    <cellStyle name="百分比 7 2 5 2 2" xfId="8212"/>
    <cellStyle name="百分比 7 2 5 3" xfId="8213"/>
    <cellStyle name="百分比 7 2 5 4" xfId="8214"/>
    <cellStyle name="百分比 7 2 5 5" xfId="8215"/>
    <cellStyle name="百分比 7 2 6" xfId="8216"/>
    <cellStyle name="百分比 7 2 6 2" xfId="8217"/>
    <cellStyle name="百分比 7 2 7" xfId="8218"/>
    <cellStyle name="百分比 7 2 7 2" xfId="8219"/>
    <cellStyle name="百分比 7 2 8" xfId="8220"/>
    <cellStyle name="百分比 7 2 9" xfId="8221"/>
    <cellStyle name="百分比 7 2 9 2" xfId="8222"/>
    <cellStyle name="百分比 7 3" xfId="8223"/>
    <cellStyle name="百分比 7 3 2" xfId="8224"/>
    <cellStyle name="百分比 7 3 2 2" xfId="8225"/>
    <cellStyle name="百分比 7 3 2 2 2" xfId="8226"/>
    <cellStyle name="百分比 7 3 2 2 2 2" xfId="8227"/>
    <cellStyle name="百分比 7 3 2 2 2 2 2" xfId="8228"/>
    <cellStyle name="百分比 7 3 2 2 2 3" xfId="8229"/>
    <cellStyle name="百分比 7 3 2 2 2 4" xfId="8230"/>
    <cellStyle name="百分比 7 3 2 2 3" xfId="8231"/>
    <cellStyle name="百分比 7 3 2 2 3 2" xfId="8232"/>
    <cellStyle name="百分比 7 3 2 2 4" xfId="8233"/>
    <cellStyle name="百分比 7 3 2 2 5" xfId="8234"/>
    <cellStyle name="百分比 7 3 2 3" xfId="8235"/>
    <cellStyle name="百分比 7 3 2 3 2" xfId="8236"/>
    <cellStyle name="百分比 7 3 2 3 2 2" xfId="8237"/>
    <cellStyle name="百分比 7 3 2 3 3" xfId="8238"/>
    <cellStyle name="百分比 7 3 2 3 4" xfId="8239"/>
    <cellStyle name="百分比 7 3 2 4" xfId="8240"/>
    <cellStyle name="百分比 7 3 2 4 2" xfId="8241"/>
    <cellStyle name="百分比 7 3 2 5" xfId="8242"/>
    <cellStyle name="百分比 7 3 2 6" xfId="8243"/>
    <cellStyle name="百分比 7 3 3" xfId="8244"/>
    <cellStyle name="百分比 7 3 3 2" xfId="8245"/>
    <cellStyle name="百分比 7 3 3 2 2" xfId="8246"/>
    <cellStyle name="百分比 7 3 3 2 2 2" xfId="8247"/>
    <cellStyle name="百分比 7 3 3 2 3" xfId="8248"/>
    <cellStyle name="百分比 7 3 3 2 4" xfId="8249"/>
    <cellStyle name="百分比 7 3 3 2 5" xfId="8250"/>
    <cellStyle name="百分比 7 3 3 3" xfId="8251"/>
    <cellStyle name="百分比 7 3 3 3 2" xfId="8252"/>
    <cellStyle name="百分比 7 3 3 3 2 2" xfId="8253"/>
    <cellStyle name="百分比 7 3 3 3 3" xfId="8254"/>
    <cellStyle name="百分比 7 3 3 3 4" xfId="8255"/>
    <cellStyle name="百分比 7 3 3 3 5" xfId="8256"/>
    <cellStyle name="百分比 7 3 3 4" xfId="8257"/>
    <cellStyle name="百分比 7 3 3 4 2" xfId="8258"/>
    <cellStyle name="百分比 7 3 3 5" xfId="8259"/>
    <cellStyle name="百分比 7 3 3 5 2" xfId="8260"/>
    <cellStyle name="百分比 7 3 3 6" xfId="8261"/>
    <cellStyle name="百分比 7 3 3 7" xfId="8262"/>
    <cellStyle name="百分比 7 3 4" xfId="8263"/>
    <cellStyle name="百分比 7 3 4 2" xfId="8264"/>
    <cellStyle name="百分比 7 3 4 2 2" xfId="8265"/>
    <cellStyle name="百分比 7 3 4 3" xfId="8266"/>
    <cellStyle name="百分比 7 3 4 4" xfId="8267"/>
    <cellStyle name="百分比 7 3 4 5" xfId="8268"/>
    <cellStyle name="百分比 7 3 5" xfId="8269"/>
    <cellStyle name="百分比 7 3 5 2" xfId="8270"/>
    <cellStyle name="百分比 7 3 5 2 2" xfId="8271"/>
    <cellStyle name="百分比 7 3 5 3" xfId="8272"/>
    <cellStyle name="百分比 7 3 5 4" xfId="8273"/>
    <cellStyle name="百分比 7 3 5 5" xfId="8274"/>
    <cellStyle name="百分比 7 3 6" xfId="8275"/>
    <cellStyle name="百分比 7 3 6 2" xfId="8276"/>
    <cellStyle name="百分比 7 3 7" xfId="8277"/>
    <cellStyle name="百分比 7 3 7 2" xfId="8278"/>
    <cellStyle name="百分比 7 3 8" xfId="8279"/>
    <cellStyle name="百分比 7 3 9" xfId="8280"/>
    <cellStyle name="百分比 7 4" xfId="8281"/>
    <cellStyle name="百分比 7 4 2" xfId="8282"/>
    <cellStyle name="百分比 7 4 2 2" xfId="8283"/>
    <cellStyle name="百分比 7 4 2 2 2" xfId="8284"/>
    <cellStyle name="百分比 7 4 2 2 2 2" xfId="8285"/>
    <cellStyle name="百分比 7 4 2 2 3" xfId="8286"/>
    <cellStyle name="百分比 7 4 2 2 4" xfId="8287"/>
    <cellStyle name="百分比 7 4 2 3" xfId="8288"/>
    <cellStyle name="百分比 7 4 2 3 2" xfId="8289"/>
    <cellStyle name="百分比 7 4 2 3 2 2" xfId="8290"/>
    <cellStyle name="百分比 7 4 2 3 3" xfId="8291"/>
    <cellStyle name="百分比 7 4 2 3 4" xfId="8292"/>
    <cellStyle name="百分比 7 4 2 4" xfId="8293"/>
    <cellStyle name="百分比 7 4 2 4 2" xfId="8294"/>
    <cellStyle name="百分比 7 4 2 5" xfId="8295"/>
    <cellStyle name="百分比 7 4 2 6" xfId="8296"/>
    <cellStyle name="百分比 7 4 3" xfId="8297"/>
    <cellStyle name="百分比 7 4 3 2" xfId="8298"/>
    <cellStyle name="百分比 7 4 3 2 2" xfId="8299"/>
    <cellStyle name="百分比 7 4 3 3" xfId="8300"/>
    <cellStyle name="百分比 7 4 3 4" xfId="8301"/>
    <cellStyle name="百分比 7 4 4" xfId="8302"/>
    <cellStyle name="百分比 7 4 4 2" xfId="8303"/>
    <cellStyle name="百分比 7 4 4 2 2" xfId="8304"/>
    <cellStyle name="百分比 7 4 4 3" xfId="8305"/>
    <cellStyle name="百分比 7 4 4 4" xfId="8306"/>
    <cellStyle name="百分比 7 4 5" xfId="8307"/>
    <cellStyle name="百分比 7 4 5 2" xfId="8308"/>
    <cellStyle name="百分比 7 4 6" xfId="8309"/>
    <cellStyle name="百分比 7 4 7" xfId="8310"/>
    <cellStyle name="百分比 7 4 8" xfId="8311"/>
    <cellStyle name="百分比 7 5" xfId="8312"/>
    <cellStyle name="百分比 7 5 2" xfId="8313"/>
    <cellStyle name="百分比 7 5 2 2" xfId="8314"/>
    <cellStyle name="百分比 7 5 2 2 2" xfId="8315"/>
    <cellStyle name="百分比 7 5 2 3" xfId="8316"/>
    <cellStyle name="百分比 7 5 2 4" xfId="8317"/>
    <cellStyle name="百分比 7 5 3" xfId="8318"/>
    <cellStyle name="百分比 7 5 4" xfId="8319"/>
    <cellStyle name="百分比 7 5 4 2" xfId="8320"/>
    <cellStyle name="百分比 7 5 5" xfId="8321"/>
    <cellStyle name="百分比 7 5 6" xfId="8322"/>
    <cellStyle name="百分比 7 6" xfId="8323"/>
    <cellStyle name="百分比 7 6 2" xfId="8324"/>
    <cellStyle name="百分比 7 6 2 2" xfId="8325"/>
    <cellStyle name="百分比 7 6 2 2 2" xfId="8326"/>
    <cellStyle name="百分比 7 6 2 3" xfId="8327"/>
    <cellStyle name="百分比 7 6 2 4" xfId="8328"/>
    <cellStyle name="百分比 7 6 2 5" xfId="8329"/>
    <cellStyle name="百分比 7 6 3" xfId="8330"/>
    <cellStyle name="百分比 7 6 3 2" xfId="8331"/>
    <cellStyle name="百分比 7 6 4" xfId="8332"/>
    <cellStyle name="百分比 7 6 4 2" xfId="8333"/>
    <cellStyle name="百分比 7 6 5" xfId="8334"/>
    <cellStyle name="百分比 7 6 6" xfId="8335"/>
    <cellStyle name="百分比 7 6 7" xfId="8336"/>
    <cellStyle name="百分比 7 7" xfId="8337"/>
    <cellStyle name="百分比 7 7 2" xfId="8338"/>
    <cellStyle name="百分比 7 7 2 2" xfId="8339"/>
    <cellStyle name="百分比 7 7 3" xfId="8340"/>
    <cellStyle name="百分比 7 7 4" xfId="8341"/>
    <cellStyle name="百分比 7 7 5" xfId="8342"/>
    <cellStyle name="百分比 7 8" xfId="8343"/>
    <cellStyle name="百分比 7 8 2" xfId="8344"/>
    <cellStyle name="百分比 7 9" xfId="8345"/>
    <cellStyle name="百分比 7 9 2" xfId="8346"/>
    <cellStyle name="百分比 8" xfId="8347"/>
    <cellStyle name="百分比 8 10" xfId="8348"/>
    <cellStyle name="百分比 8 10 2" xfId="8349"/>
    <cellStyle name="百分比 8 11" xfId="8350"/>
    <cellStyle name="百分比 8 2" xfId="8351"/>
    <cellStyle name="百分比 8 2 10" xfId="8352"/>
    <cellStyle name="百分比 8 2 2" xfId="8353"/>
    <cellStyle name="百分比 8 2 2 2" xfId="8354"/>
    <cellStyle name="百分比 8 2 2 2 2" xfId="8355"/>
    <cellStyle name="百分比 8 2 2 2 2 2" xfId="8356"/>
    <cellStyle name="百分比 8 2 2 2 2 2 2" xfId="8357"/>
    <cellStyle name="百分比 8 2 2 2 2 3" xfId="8358"/>
    <cellStyle name="百分比 8 2 2 2 2 4" xfId="8359"/>
    <cellStyle name="百分比 8 2 2 2 2 5" xfId="8360"/>
    <cellStyle name="百分比 8 2 2 2 3" xfId="8361"/>
    <cellStyle name="百分比 8 2 2 2 3 2" xfId="8362"/>
    <cellStyle name="百分比 8 2 2 2 4" xfId="8363"/>
    <cellStyle name="百分比 8 2 2 2 4 2" xfId="8364"/>
    <cellStyle name="百分比 8 2 2 2 5" xfId="8365"/>
    <cellStyle name="百分比 8 2 2 2 6" xfId="8366"/>
    <cellStyle name="百分比 8 2 2 2 7" xfId="8367"/>
    <cellStyle name="百分比 8 2 2 3" xfId="8368"/>
    <cellStyle name="百分比 8 2 2 3 2" xfId="8369"/>
    <cellStyle name="百分比 8 2 2 3 2 2" xfId="8370"/>
    <cellStyle name="百分比 8 2 2 3 3" xfId="8371"/>
    <cellStyle name="百分比 8 2 2 3 4" xfId="8372"/>
    <cellStyle name="百分比 8 2 2 3 5" xfId="8373"/>
    <cellStyle name="百分比 8 2 2 4" xfId="8374"/>
    <cellStyle name="百分比 8 2 2 4 2" xfId="8375"/>
    <cellStyle name="百分比 8 2 2 5" xfId="8376"/>
    <cellStyle name="百分比 8 2 2 5 2" xfId="8377"/>
    <cellStyle name="百分比 8 2 2 6" xfId="8378"/>
    <cellStyle name="百分比 8 2 2 7" xfId="8379"/>
    <cellStyle name="百分比 8 2 2 8" xfId="8380"/>
    <cellStyle name="百分比 8 2 3" xfId="8381"/>
    <cellStyle name="百分比 8 2 3 2" xfId="8382"/>
    <cellStyle name="百分比 8 2 3 2 2" xfId="8383"/>
    <cellStyle name="百分比 8 2 3 2 2 2" xfId="8384"/>
    <cellStyle name="百分比 8 2 3 2 3" xfId="8385"/>
    <cellStyle name="百分比 8 2 3 2 3 2" xfId="8386"/>
    <cellStyle name="百分比 8 2 3 2 4" xfId="8387"/>
    <cellStyle name="百分比 8 2 3 2 5" xfId="8388"/>
    <cellStyle name="百分比 8 2 3 2 6" xfId="8389"/>
    <cellStyle name="百分比 8 2 3 2 7" xfId="8390"/>
    <cellStyle name="百分比 8 2 3 3" xfId="8391"/>
    <cellStyle name="百分比 8 2 3 3 2" xfId="8392"/>
    <cellStyle name="百分比 8 2 3 3 2 2" xfId="8393"/>
    <cellStyle name="百分比 8 2 3 3 3" xfId="8394"/>
    <cellStyle name="百分比 8 2 3 3 4" xfId="8395"/>
    <cellStyle name="百分比 8 2 3 3 5" xfId="8396"/>
    <cellStyle name="百分比 8 2 3 4" xfId="8397"/>
    <cellStyle name="百分比 8 2 3 4 2" xfId="8398"/>
    <cellStyle name="百分比 8 2 3 5" xfId="8399"/>
    <cellStyle name="百分比 8 2 3 5 2" xfId="8400"/>
    <cellStyle name="百分比 8 2 3 6" xfId="8401"/>
    <cellStyle name="百分比 8 2 3 7" xfId="8402"/>
    <cellStyle name="百分比 8 2 3 8" xfId="8403"/>
    <cellStyle name="百分比 8 2 4" xfId="8404"/>
    <cellStyle name="百分比 8 2 4 2" xfId="8405"/>
    <cellStyle name="百分比 8 2 4 2 2" xfId="8406"/>
    <cellStyle name="百分比 8 2 4 3" xfId="8407"/>
    <cellStyle name="百分比 8 2 4 3 2" xfId="8408"/>
    <cellStyle name="百分比 8 2 4 4" xfId="8409"/>
    <cellStyle name="百分比 8 2 4 5" xfId="8410"/>
    <cellStyle name="百分比 8 2 4 6" xfId="8411"/>
    <cellStyle name="百分比 8 2 4 7" xfId="8412"/>
    <cellStyle name="百分比 8 2 5" xfId="8413"/>
    <cellStyle name="百分比 8 2 5 2" xfId="8414"/>
    <cellStyle name="百分比 8 2 5 2 2" xfId="8415"/>
    <cellStyle name="百分比 8 2 5 3" xfId="8416"/>
    <cellStyle name="百分比 8 2 5 4" xfId="8417"/>
    <cellStyle name="百分比 8 2 5 5" xfId="8418"/>
    <cellStyle name="百分比 8 2 6" xfId="8419"/>
    <cellStyle name="百分比 8 2 6 2" xfId="8420"/>
    <cellStyle name="百分比 8 2 7" xfId="8421"/>
    <cellStyle name="百分比 8 2 7 2" xfId="8422"/>
    <cellStyle name="百分比 8 2 8" xfId="8423"/>
    <cellStyle name="百分比 8 2 9" xfId="8424"/>
    <cellStyle name="百分比 8 2 9 2" xfId="8425"/>
    <cellStyle name="百分比 8 3" xfId="8426"/>
    <cellStyle name="百分比 8 3 2" xfId="8427"/>
    <cellStyle name="百分比 8 3 2 2" xfId="8428"/>
    <cellStyle name="百分比 8 3 2 2 2" xfId="8429"/>
    <cellStyle name="百分比 8 3 2 2 2 2" xfId="8430"/>
    <cellStyle name="百分比 8 3 2 2 3" xfId="8431"/>
    <cellStyle name="百分比 8 3 2 2 4" xfId="8432"/>
    <cellStyle name="百分比 8 3 2 3" xfId="8433"/>
    <cellStyle name="百分比 8 3 2 3 2" xfId="8434"/>
    <cellStyle name="百分比 8 3 2 3 2 2" xfId="8435"/>
    <cellStyle name="百分比 8 3 2 3 3" xfId="8436"/>
    <cellStyle name="百分比 8 3 2 3 4" xfId="8437"/>
    <cellStyle name="百分比 8 3 2 4" xfId="8438"/>
    <cellStyle name="百分比 8 3 2 4 2" xfId="8439"/>
    <cellStyle name="百分比 8 3 2 5" xfId="8440"/>
    <cellStyle name="百分比 8 3 2 6" xfId="8441"/>
    <cellStyle name="百分比 8 3 3" xfId="8442"/>
    <cellStyle name="百分比 8 3 3 2" xfId="8443"/>
    <cellStyle name="百分比 8 3 3 2 2" xfId="8444"/>
    <cellStyle name="百分比 8 3 3 3" xfId="8445"/>
    <cellStyle name="百分比 8 3 3 3 2" xfId="8446"/>
    <cellStyle name="百分比 8 3 3 4" xfId="8447"/>
    <cellStyle name="百分比 8 3 3 5" xfId="8448"/>
    <cellStyle name="百分比 8 3 3 6" xfId="8449"/>
    <cellStyle name="百分比 8 3 3 7" xfId="8450"/>
    <cellStyle name="百分比 8 3 4" xfId="8451"/>
    <cellStyle name="百分比 8 3 4 2" xfId="8452"/>
    <cellStyle name="百分比 8 3 4 2 2" xfId="8453"/>
    <cellStyle name="百分比 8 3 4 3" xfId="8454"/>
    <cellStyle name="百分比 8 3 4 4" xfId="8455"/>
    <cellStyle name="百分比 8 3 4 5" xfId="8456"/>
    <cellStyle name="百分比 8 3 5" xfId="8457"/>
    <cellStyle name="百分比 8 3 5 2" xfId="8458"/>
    <cellStyle name="百分比 8 3 6" xfId="8459"/>
    <cellStyle name="百分比 8 3 6 2" xfId="8460"/>
    <cellStyle name="百分比 8 3 7" xfId="8461"/>
    <cellStyle name="百分比 8 3 8" xfId="8462"/>
    <cellStyle name="百分比 8 3 8 2" xfId="8463"/>
    <cellStyle name="百分比 8 4" xfId="8464"/>
    <cellStyle name="百分比 8 4 2" xfId="8465"/>
    <cellStyle name="百分比 8 4 2 2" xfId="8466"/>
    <cellStyle name="百分比 8 4 2 2 2" xfId="8467"/>
    <cellStyle name="百分比 8 4 2 3" xfId="8468"/>
    <cellStyle name="百分比 8 4 2 4" xfId="8469"/>
    <cellStyle name="百分比 8 4 3" xfId="8470"/>
    <cellStyle name="百分比 8 4 3 2" xfId="8471"/>
    <cellStyle name="百分比 8 4 3 2 2" xfId="8472"/>
    <cellStyle name="百分比 8 4 3 3" xfId="8473"/>
    <cellStyle name="百分比 8 4 3 4" xfId="8474"/>
    <cellStyle name="百分比 8 4 4" xfId="8475"/>
    <cellStyle name="百分比 8 4 4 2" xfId="8476"/>
    <cellStyle name="百分比 8 4 5" xfId="8477"/>
    <cellStyle name="百分比 8 4 6" xfId="8478"/>
    <cellStyle name="百分比 8 4 7" xfId="8479"/>
    <cellStyle name="百分比 8 5" xfId="8480"/>
    <cellStyle name="百分比 8 5 2" xfId="8481"/>
    <cellStyle name="百分比 8 5 2 2" xfId="8482"/>
    <cellStyle name="百分比 8 5 3" xfId="8483"/>
    <cellStyle name="百分比 8 5 4" xfId="8484"/>
    <cellStyle name="百分比 8 6" xfId="8485"/>
    <cellStyle name="百分比 8 6 2" xfId="8486"/>
    <cellStyle name="百分比 8 6 2 2" xfId="8487"/>
    <cellStyle name="百分比 8 6 3" xfId="8488"/>
    <cellStyle name="百分比 8 6 3 2" xfId="8489"/>
    <cellStyle name="百分比 8 6 4" xfId="8490"/>
    <cellStyle name="百分比 8 6 5" xfId="8491"/>
    <cellStyle name="百分比 8 6 6" xfId="8492"/>
    <cellStyle name="百分比 8 6 7" xfId="8493"/>
    <cellStyle name="百分比 8 7" xfId="8494"/>
    <cellStyle name="百分比 8 7 2" xfId="8495"/>
    <cellStyle name="百分比 8 8" xfId="8496"/>
    <cellStyle name="百分比 8 8 2" xfId="8497"/>
    <cellStyle name="百分比 8 9" xfId="8498"/>
    <cellStyle name="百分比 9" xfId="8499"/>
    <cellStyle name="百分比 9 2" xfId="8500"/>
    <cellStyle name="百分比 9 2 2" xfId="8501"/>
    <cellStyle name="百分比 9 3" xfId="8502"/>
    <cellStyle name="百分比 9 3 2" xfId="8503"/>
    <cellStyle name="百分比 9 4" xfId="8504"/>
    <cellStyle name="百分比 9 5" xfId="8505"/>
    <cellStyle name="标题 1 2" xfId="8506"/>
    <cellStyle name="标题 1 2 2" xfId="8507"/>
    <cellStyle name="标题 1 3" xfId="8508"/>
    <cellStyle name="标题 2 2" xfId="8509"/>
    <cellStyle name="标题 2 2 2" xfId="8510"/>
    <cellStyle name="标题 2 3" xfId="8511"/>
    <cellStyle name="标题 3 2" xfId="8512"/>
    <cellStyle name="标题 3 2 2" xfId="8513"/>
    <cellStyle name="标题 3 3" xfId="8514"/>
    <cellStyle name="标题 4 2" xfId="8515"/>
    <cellStyle name="标题 4 2 2" xfId="8516"/>
    <cellStyle name="标题 4 3" xfId="8517"/>
    <cellStyle name="标题 4 4" xfId="8518"/>
    <cellStyle name="标题 5" xfId="8519"/>
    <cellStyle name="标题 5 2" xfId="8520"/>
    <cellStyle name="标题 5 3" xfId="8521"/>
    <cellStyle name="标题 6" xfId="8522"/>
    <cellStyle name="差 2" xfId="8523"/>
    <cellStyle name="差 2 2" xfId="8524"/>
    <cellStyle name="差 3" xfId="8525"/>
    <cellStyle name="常规 10" xfId="8526"/>
    <cellStyle name="常规 10 10" xfId="8527"/>
    <cellStyle name="常规 10 10 2" xfId="8528"/>
    <cellStyle name="常规 10 10 2 2" xfId="8529"/>
    <cellStyle name="常规 10 10 2 2 2" xfId="8530"/>
    <cellStyle name="常规 10 10 2 3" xfId="8531"/>
    <cellStyle name="常规 10 10 2 4" xfId="8532"/>
    <cellStyle name="常规 10 10 3" xfId="8533"/>
    <cellStyle name="常规 10 10 3 2" xfId="8534"/>
    <cellStyle name="常规 10 10 4" xfId="8535"/>
    <cellStyle name="常规 10 10 5" xfId="8536"/>
    <cellStyle name="常规 10 11" xfId="8537"/>
    <cellStyle name="常规 10 11 2" xfId="8538"/>
    <cellStyle name="常规 10 11 2 2" xfId="8539"/>
    <cellStyle name="常规 10 11 2 2 2" xfId="8540"/>
    <cellStyle name="常规 10 11 2 3" xfId="8541"/>
    <cellStyle name="常规 10 11 2 4" xfId="8542"/>
    <cellStyle name="常规 10 11 3" xfId="8543"/>
    <cellStyle name="常规 10 11 3 2" xfId="8544"/>
    <cellStyle name="常规 10 11 4" xfId="8545"/>
    <cellStyle name="常规 10 11 5" xfId="8546"/>
    <cellStyle name="常规 10 12" xfId="8547"/>
    <cellStyle name="常规 10 12 2" xfId="8548"/>
    <cellStyle name="常规 10 12 2 2" xfId="8549"/>
    <cellStyle name="常规 10 12 3" xfId="8550"/>
    <cellStyle name="常规 10 12 4" xfId="8551"/>
    <cellStyle name="常规 10 13" xfId="8552"/>
    <cellStyle name="常规 10 13 2" xfId="8553"/>
    <cellStyle name="常规 10 13 2 2" xfId="8554"/>
    <cellStyle name="常规 10 13 3" xfId="8555"/>
    <cellStyle name="常规 10 13 4" xfId="8556"/>
    <cellStyle name="常规 10 14" xfId="8557"/>
    <cellStyle name="常规 10 2 21" xfId="8558"/>
    <cellStyle name="常规 10 2 10" xfId="8559"/>
    <cellStyle name="常规 10 2 10 2" xfId="8560"/>
    <cellStyle name="常规 10 2 10 2 2" xfId="8561"/>
    <cellStyle name="常规 10 2 10 2 2 2" xfId="8562"/>
    <cellStyle name="常规 10 2 10 2 3" xfId="8563"/>
    <cellStyle name="常规 10 2 10 2 4" xfId="8564"/>
    <cellStyle name="常规 10 2 10 3" xfId="8565"/>
    <cellStyle name="常规 10 2 10 3 2" xfId="8566"/>
    <cellStyle name="常规 10 2 10 4" xfId="8567"/>
    <cellStyle name="常规 10 2 10 5" xfId="8568"/>
    <cellStyle name="常规 10 2 10 6" xfId="8569"/>
    <cellStyle name="常规 10 2 11 2" xfId="8570"/>
    <cellStyle name="常规 10 2 11 3" xfId="8571"/>
    <cellStyle name="常规 10 2 11 4" xfId="8572"/>
    <cellStyle name="常规 10 2 12" xfId="8573"/>
    <cellStyle name="常规 10 2 12 2" xfId="8574"/>
    <cellStyle name="常规 10 2 12 3" xfId="8575"/>
    <cellStyle name="常规 10 2 12 4" xfId="8576"/>
    <cellStyle name="常规 10 2 12 5" xfId="8577"/>
    <cellStyle name="常规 10 2 12 6" xfId="8578"/>
    <cellStyle name="常规 10 2 12 7" xfId="8579"/>
    <cellStyle name="常规 10 2 13" xfId="8580"/>
    <cellStyle name="常规 10 2 13 2" xfId="8581"/>
    <cellStyle name="常规 10 2 14" xfId="8582"/>
    <cellStyle name="常规 10 2 14 2" xfId="8583"/>
    <cellStyle name="常规 10 2 15" xfId="8584"/>
    <cellStyle name="常规 10 2 16" xfId="8585"/>
    <cellStyle name="常规 10 2 17" xfId="8586"/>
    <cellStyle name="常规 10 2 18" xfId="8587"/>
    <cellStyle name="常规 10 2 19" xfId="8588"/>
    <cellStyle name="常规 10 2 2" xfId="8589"/>
    <cellStyle name="常规 10 2 2 10" xfId="8590"/>
    <cellStyle name="常规 10 2 2 10 2" xfId="8591"/>
    <cellStyle name="常规 10 2 2 10 2 2" xfId="8592"/>
    <cellStyle name="常规 10 2 2 10 3" xfId="8593"/>
    <cellStyle name="常规 10 2 2 10 4" xfId="8594"/>
    <cellStyle name="常规 10 2 2 10 5" xfId="8595"/>
    <cellStyle name="常规 10 2 2 11" xfId="8596"/>
    <cellStyle name="常规 10 2 2 11 2" xfId="8597"/>
    <cellStyle name="常规 10 2 2 11 2 2" xfId="8598"/>
    <cellStyle name="常规 10 2 2 11 3" xfId="8599"/>
    <cellStyle name="常规 10 2 2 11 4" xfId="8600"/>
    <cellStyle name="常规 10 2 2 11 5" xfId="8601"/>
    <cellStyle name="常规 10 2 2 12" xfId="8602"/>
    <cellStyle name="常规 10 2 2 12 2" xfId="8603"/>
    <cellStyle name="常规 10 2 2 12 3" xfId="8604"/>
    <cellStyle name="常规 10 2 2 13" xfId="8605"/>
    <cellStyle name="常规 10 2 2 13 2" xfId="8606"/>
    <cellStyle name="常规 10 2 2 14" xfId="8607"/>
    <cellStyle name="常规 10 2 2 14 2" xfId="8608"/>
    <cellStyle name="常规 10 2 2 15" xfId="8609"/>
    <cellStyle name="常规 10 2 2 2" xfId="8610"/>
    <cellStyle name="常规 10 2 2 2 10" xfId="8611"/>
    <cellStyle name="常规 10 2 2 2 10 2" xfId="8612"/>
    <cellStyle name="常规 10 2 2 2 10 2 2" xfId="8613"/>
    <cellStyle name="常规 10 2 2 2 10 3" xfId="8614"/>
    <cellStyle name="常规 10 2 2 2 10 4" xfId="8615"/>
    <cellStyle name="常规 10 2 2 2 10 5" xfId="8616"/>
    <cellStyle name="常规 10 2 2 2 11" xfId="8617"/>
    <cellStyle name="常规 10 2 2 2 11 2" xfId="8618"/>
    <cellStyle name="常规 10 2 2 2 11 3" xfId="8619"/>
    <cellStyle name="常规 10 2 2 2 12" xfId="8620"/>
    <cellStyle name="常规 10 2 2 2 13" xfId="8621"/>
    <cellStyle name="常规 10 2 2 2 14" xfId="8622"/>
    <cellStyle name="常规 10 2 2 2 2" xfId="8623"/>
    <cellStyle name="常规 10 2 2 2 2 10" xfId="8624"/>
    <cellStyle name="常规 10 2 2 2 2 2" xfId="8625"/>
    <cellStyle name="常规 10 2 2 2 2 2 2" xfId="8626"/>
    <cellStyle name="常规 10 2 2 2 2 2 2 2" xfId="8627"/>
    <cellStyle name="常规 10 2 2 2 2 2 2 2 2" xfId="8628"/>
    <cellStyle name="常规 10 2 2 2 2 2 2 2 2 2" xfId="8629"/>
    <cellStyle name="常规 10 2 2 2 2 2 2 2 2 2 2" xfId="8630"/>
    <cellStyle name="常规 10 2 2 2 2 2 2 2 2 3" xfId="8631"/>
    <cellStyle name="常规 10 2 2 2 2 2 2 2 2 4" xfId="8632"/>
    <cellStyle name="常规 10 2 2 2 2 2 2 2 2 5" xfId="8633"/>
    <cellStyle name="常规 10 2 2 2 2 2 2 2 3" xfId="8634"/>
    <cellStyle name="常规 10 2 2 2 2 2 2 2 3 2" xfId="8635"/>
    <cellStyle name="常规 10 2 2 2 2 2 2 2 3 3" xfId="8636"/>
    <cellStyle name="常规 10 2 2 2 2 2 2 2 4" xfId="8637"/>
    <cellStyle name="常规 10 2 2 2 2 2 2 2 4 2" xfId="8638"/>
    <cellStyle name="常规 10 2 2 2 2 2 2 2 5" xfId="8639"/>
    <cellStyle name="常规 10 2 2 2 2 2 2 2 5 2" xfId="8640"/>
    <cellStyle name="常规 10 2 2 2 2 2 2 2 6" xfId="8641"/>
    <cellStyle name="常规 10 2 2 2 2 2 2 2 7" xfId="8642"/>
    <cellStyle name="常规 10 2 2 2 2 2 2 3" xfId="8643"/>
    <cellStyle name="常规 10 2 2 2 2 2 2 3 2" xfId="8644"/>
    <cellStyle name="常规 10 2 2 2 2 2 2 3 2 2" xfId="8645"/>
    <cellStyle name="常规 10 2 2 2 2 2 2 3 3" xfId="8646"/>
    <cellStyle name="常规 10 2 2 2 2 2 2 3 4" xfId="8647"/>
    <cellStyle name="常规 10 2 2 2 2 2 2 3 5" xfId="8648"/>
    <cellStyle name="常规 10 2 2 2 2 2 2 4" xfId="8649"/>
    <cellStyle name="常规 10 2 2 2 2 2 2 4 2" xfId="8650"/>
    <cellStyle name="常规 10 2 2 2 2 2 2 4 3" xfId="8651"/>
    <cellStyle name="常规 10 2 2 2 2 2 2 5" xfId="8652"/>
    <cellStyle name="常规 10 2 2 2 2 2 2 5 2" xfId="8653"/>
    <cellStyle name="常规 10 2 2 2 2 2 2 6" xfId="8654"/>
    <cellStyle name="常规 10 2 2 2 2 2 2 6 2" xfId="8655"/>
    <cellStyle name="常规 10 2 2 2 2 2 2 7" xfId="8656"/>
    <cellStyle name="常规 10 2 2 2 2 2 2 8" xfId="8657"/>
    <cellStyle name="常规 10 2 2 2 2 2 3" xfId="8658"/>
    <cellStyle name="常规 10 2 2 2 2 2 3 2" xfId="8659"/>
    <cellStyle name="常规 10 2 2 2 2 2 3 2 2" xfId="8660"/>
    <cellStyle name="常规 10 2 2 2 2 2 3 2 2 2" xfId="8661"/>
    <cellStyle name="常规 10 2 2 2 2 2 3 2 3" xfId="8662"/>
    <cellStyle name="常规 10 2 2 2 2 2 3 2 4" xfId="8663"/>
    <cellStyle name="常规 10 2 2 2 2 2 3 2 5" xfId="8664"/>
    <cellStyle name="常规 10 2 2 2 2 2 3 3" xfId="8665"/>
    <cellStyle name="常规 10 2 2 2 2 2 3 3 2" xfId="8666"/>
    <cellStyle name="常规 10 2 2 2 2 2 3 3 3" xfId="8667"/>
    <cellStyle name="常规 10 2 2 2 2 2 3 4" xfId="8668"/>
    <cellStyle name="常规 10 2 2 2 2 2 3 4 2" xfId="8669"/>
    <cellStyle name="常规 10 2 2 2 2 2 3 5" xfId="8670"/>
    <cellStyle name="常规 10 2 2 2 2 2 3 5 2" xfId="8671"/>
    <cellStyle name="常规 10 2 2 2 2 2 3 6" xfId="8672"/>
    <cellStyle name="常规 10 2 2 2 2 2 3 7" xfId="8673"/>
    <cellStyle name="常规 10 2 2 2 2 2 4" xfId="8674"/>
    <cellStyle name="常规 10 2 2 2 2 2 4 2" xfId="8675"/>
    <cellStyle name="常规 10 2 2 2 2 2 4 2 2" xfId="8676"/>
    <cellStyle name="常规 10 2 2 2 2 2 4 3" xfId="8677"/>
    <cellStyle name="常规 10 2 2 2 2 2 4 4" xfId="8678"/>
    <cellStyle name="常规 10 2 2 2 2 2 4 5" xfId="8679"/>
    <cellStyle name="常规 10 2 2 2 2 2 5" xfId="8680"/>
    <cellStyle name="常规 10 2 2 2 2 2 5 2" xfId="8681"/>
    <cellStyle name="常规 10 2 2 2 2 2 5 3" xfId="8682"/>
    <cellStyle name="常规 10 2 2 2 2 2 6" xfId="8683"/>
    <cellStyle name="常规 10 2 2 2 2 2 6 2" xfId="8684"/>
    <cellStyle name="常规 10 2 2 2 2 2 7" xfId="8685"/>
    <cellStyle name="常规 10 2 2 2 2 2 7 2" xfId="8686"/>
    <cellStyle name="常规 10 2 2 2 2 2 8" xfId="8687"/>
    <cellStyle name="常规 10 2 2 2 2 2 9" xfId="8688"/>
    <cellStyle name="常规 10 2 2 2 2 3" xfId="8689"/>
    <cellStyle name="常规 10 2 2 2 2 3 2" xfId="8690"/>
    <cellStyle name="常规 10 2 2 2 2 3 2 2" xfId="8691"/>
    <cellStyle name="常规 10 2 2 2 2 3 2 2 2" xfId="8692"/>
    <cellStyle name="常规 10 2 2 2 2 3 2 2 2 2" xfId="8693"/>
    <cellStyle name="常规 10 2 2 2 2 3 2 2 3" xfId="8694"/>
    <cellStyle name="常规 10 2 2 2 2 3 2 2 4" xfId="8695"/>
    <cellStyle name="常规 10 2 2 2 2 3 2 2 5" xfId="8696"/>
    <cellStyle name="常规 10 2 2 2 2 3 2 3" xfId="8697"/>
    <cellStyle name="常规 10 2 2 2 2 3 2 3 2" xfId="8698"/>
    <cellStyle name="常规 10 2 2 2 2 3 2 3 3" xfId="8699"/>
    <cellStyle name="常规 10 2 2 2 2 3 2 4" xfId="8700"/>
    <cellStyle name="常规 10 2 2 2 2 3 2 4 2" xfId="8701"/>
    <cellStyle name="常规 10 2 2 2 2 3 2 5" xfId="8702"/>
    <cellStyle name="常规 10 2 2 2 2 3 2 5 2" xfId="8703"/>
    <cellStyle name="常规 10 2 2 2 2 3 2 6" xfId="8704"/>
    <cellStyle name="常规 10 2 2 2 2 3 2 7" xfId="8705"/>
    <cellStyle name="常规 10 2 2 2 2 3 3" xfId="8706"/>
    <cellStyle name="常规 10 2 2 2 2 3 3 2" xfId="8707"/>
    <cellStyle name="常规 10 2 2 2 2 3 3 2 2" xfId="8708"/>
    <cellStyle name="常规 10 2 2 2 2 3 3 3" xfId="8709"/>
    <cellStyle name="常规 10 2 2 2 2 3 3 4" xfId="8710"/>
    <cellStyle name="常规 10 2 2 2 2 3 3 5" xfId="8711"/>
    <cellStyle name="常规 10 2 2 2 2 3 4" xfId="8712"/>
    <cellStyle name="常规 10 2 2 2 2 3 4 2" xfId="8713"/>
    <cellStyle name="常规 10 2 2 2 2 3 4 3" xfId="8714"/>
    <cellStyle name="常规 10 2 2 2 2 3 5" xfId="8715"/>
    <cellStyle name="常规 10 2 2 2 2 3 5 2" xfId="8716"/>
    <cellStyle name="常规 10 2 2 2 2 3 6" xfId="8717"/>
    <cellStyle name="常规 10 2 2 2 2 3 6 2" xfId="8718"/>
    <cellStyle name="常规 10 2 2 2 2 3 7" xfId="8719"/>
    <cellStyle name="常规 10 2 2 2 2 3 8" xfId="8720"/>
    <cellStyle name="常规 10 2 2 2 2 4" xfId="8721"/>
    <cellStyle name="常规 10 2 2 2 2 4 2" xfId="8722"/>
    <cellStyle name="常规 10 2 2 2 2 4 2 2" xfId="8723"/>
    <cellStyle name="常规 10 2 2 2 2 4 2 2 2" xfId="8724"/>
    <cellStyle name="常规 10 2 2 2 2 4 2 3" xfId="8725"/>
    <cellStyle name="常规 10 2 2 2 2 4 2 4" xfId="8726"/>
    <cellStyle name="常规 10 2 2 2 2 4 2 5" xfId="8727"/>
    <cellStyle name="常规 10 2 2 2 2 4 3" xfId="8728"/>
    <cellStyle name="常规 10 2 2 2 2 4 3 2" xfId="8729"/>
    <cellStyle name="常规 10 2 2 2 2 4 3 3" xfId="8730"/>
    <cellStyle name="常规 10 2 2 2 2 4 4" xfId="8731"/>
    <cellStyle name="常规 10 2 2 2 2 4 4 2" xfId="8732"/>
    <cellStyle name="常规 10 2 2 2 2 4 5" xfId="8733"/>
    <cellStyle name="常规 10 2 2 2 2 4 5 2" xfId="8734"/>
    <cellStyle name="常规 10 2 2 2 2 4 6" xfId="8735"/>
    <cellStyle name="常规 10 2 2 2 2 4 7" xfId="8736"/>
    <cellStyle name="常规 10 2 2 2 2 5" xfId="8737"/>
    <cellStyle name="常规 10 2 2 2 2 5 2" xfId="8738"/>
    <cellStyle name="常规 10 2 2 2 2 5 2 2" xfId="8739"/>
    <cellStyle name="常规 10 2 2 2 2 5 3" xfId="8740"/>
    <cellStyle name="常规 10 2 2 2 2 5 4" xfId="8741"/>
    <cellStyle name="常规 10 2 2 2 2 5 5" xfId="8742"/>
    <cellStyle name="常规 10 2 2 2 2 6" xfId="8743"/>
    <cellStyle name="常规 10 2 2 2 2 6 2" xfId="8744"/>
    <cellStyle name="常规 10 2 2 2 2 6 2 2" xfId="8745"/>
    <cellStyle name="常规 10 2 2 2 2 6 3" xfId="8746"/>
    <cellStyle name="常规 10 2 2 2 2 6 4" xfId="8747"/>
    <cellStyle name="常规 10 2 2 2 2 6 5" xfId="8748"/>
    <cellStyle name="常规 10 2 2 2 2 7" xfId="8749"/>
    <cellStyle name="常规 10 2 2 2 2 7 2" xfId="8750"/>
    <cellStyle name="常规 10 2 2 2 2 7 3" xfId="8751"/>
    <cellStyle name="常规 10 2 2 2 2 8" xfId="8752"/>
    <cellStyle name="常规 10 2 2 2 2 8 2" xfId="8753"/>
    <cellStyle name="常规 10 2 2 2 2 9" xfId="8754"/>
    <cellStyle name="常规 10 2 2 2 2 9 2" xfId="8755"/>
    <cellStyle name="常规 10 2 2 2 3" xfId="8756"/>
    <cellStyle name="常规 10 2 2 2 3 2" xfId="8757"/>
    <cellStyle name="常规 10 2 2 2 3 2 2" xfId="8758"/>
    <cellStyle name="常规 10 2 2 2 3 2 2 2" xfId="8759"/>
    <cellStyle name="常规 10 2 2 2 3 2 2 2 2" xfId="8760"/>
    <cellStyle name="常规 10 2 2 2 3 2 2 2 2 2" xfId="8761"/>
    <cellStyle name="常规 10 2 2 2 3 2 2 2 3" xfId="8762"/>
    <cellStyle name="常规 10 2 2 2 3 2 2 2 4" xfId="8763"/>
    <cellStyle name="常规 10 2 2 2 3 2 2 2 5" xfId="8764"/>
    <cellStyle name="常规 10 2 2 2 3 2 2 3" xfId="8765"/>
    <cellStyle name="常规 10 2 2 2 3 2 2 3 2" xfId="8766"/>
    <cellStyle name="常规 10 2 2 2 3 2 2 3 3" xfId="8767"/>
    <cellStyle name="常规 10 2 2 2 3 2 2 4" xfId="8768"/>
    <cellStyle name="常规 10 2 2 2 3 2 2 4 2" xfId="8769"/>
    <cellStyle name="常规 10 2 2 2 3 2 2 5" xfId="8770"/>
    <cellStyle name="常规 10 2 2 2 3 2 2 5 2" xfId="8771"/>
    <cellStyle name="常规 10 2 2 2 3 2 2 6" xfId="8772"/>
    <cellStyle name="常规 10 2 2 2 3 2 2 7" xfId="8773"/>
    <cellStyle name="常规 10 2 2 2 3 2 3" xfId="8774"/>
    <cellStyle name="常规 10 2 2 2 3 2 3 2" xfId="8775"/>
    <cellStyle name="常规 10 2 2 2 3 2 3 2 2" xfId="8776"/>
    <cellStyle name="常规 10 2 2 2 3 2 3 3" xfId="8777"/>
    <cellStyle name="常规 10 2 2 2 3 2 3 4" xfId="8778"/>
    <cellStyle name="常规 10 2 2 2 3 2 3 5" xfId="8779"/>
    <cellStyle name="常规 10 2 2 2 3 2 4" xfId="8780"/>
    <cellStyle name="常规 10 2 2 2 3 2 4 2" xfId="8781"/>
    <cellStyle name="常规 10 2 2 2 3 2 4 3" xfId="8782"/>
    <cellStyle name="常规 10 2 2 2 3 2 5" xfId="8783"/>
    <cellStyle name="常规 10 2 2 2 3 2 5 2" xfId="8784"/>
    <cellStyle name="常规 10 2 2 2 3 2 6" xfId="8785"/>
    <cellStyle name="常规 10 2 2 2 3 2 6 2" xfId="8786"/>
    <cellStyle name="常规 10 2 2 2 3 2 7" xfId="8787"/>
    <cellStyle name="常规 10 2 2 2 3 2 8" xfId="8788"/>
    <cellStyle name="常规 10 2 2 2 3 3" xfId="8789"/>
    <cellStyle name="常规 10 2 2 2 3 3 2" xfId="8790"/>
    <cellStyle name="常规 10 2 2 2 3 3 2 2" xfId="8791"/>
    <cellStyle name="常规 10 2 2 2 3 3 2 2 2" xfId="8792"/>
    <cellStyle name="常规 10 2 2 2 3 3 2 3" xfId="8793"/>
    <cellStyle name="常规 10 2 2 2 3 3 2 4" xfId="8794"/>
    <cellStyle name="常规 10 2 2 2 3 3 2 5" xfId="8795"/>
    <cellStyle name="常规 10 2 2 2 3 3 3" xfId="8796"/>
    <cellStyle name="常规 10 2 2 2 3 3 3 2" xfId="8797"/>
    <cellStyle name="常规 10 2 2 2 3 3 3 3" xfId="8798"/>
    <cellStyle name="常规 10 2 2 2 3 3 4" xfId="8799"/>
    <cellStyle name="常规 10 2 2 2 3 3 4 2" xfId="8800"/>
    <cellStyle name="常规 10 2 2 2 3 3 5" xfId="8801"/>
    <cellStyle name="常规 10 2 2 2 3 3 5 2" xfId="8802"/>
    <cellStyle name="常规 10 2 2 2 3 3 6" xfId="8803"/>
    <cellStyle name="常规 10 2 2 2 3 3 7" xfId="8804"/>
    <cellStyle name="常规 10 2 2 2 3 4" xfId="8805"/>
    <cellStyle name="常规 10 2 2 2 3 4 2" xfId="8806"/>
    <cellStyle name="常规 10 2 2 2 3 4 2 2" xfId="8807"/>
    <cellStyle name="常规 10 2 2 2 3 4 3" xfId="8808"/>
    <cellStyle name="常规 10 2 2 2 3 4 4" xfId="8809"/>
    <cellStyle name="常规 10 2 2 2 3 4 5" xfId="8810"/>
    <cellStyle name="常规 10 2 2 2 3 5" xfId="8811"/>
    <cellStyle name="常规 10 2 2 2 3 5 2" xfId="8812"/>
    <cellStyle name="常规 10 2 2 2 3 5 3" xfId="8813"/>
    <cellStyle name="常规 10 2 2 2 3 6" xfId="8814"/>
    <cellStyle name="常规 10 2 2 2 3 6 2" xfId="8815"/>
    <cellStyle name="常规 10 2 2 2 3 7" xfId="8816"/>
    <cellStyle name="常规 10 2 2 2 3 7 2" xfId="8817"/>
    <cellStyle name="常规 10 2 2 2 3 8" xfId="8818"/>
    <cellStyle name="常规 10 2 2 2 3 9" xfId="8819"/>
    <cellStyle name="常规 10 2 2 2 4" xfId="8820"/>
    <cellStyle name="常规 10 2 2 2 4 2" xfId="8821"/>
    <cellStyle name="常规 10 2 2 2 4 2 2" xfId="8822"/>
    <cellStyle name="常规 10 2 2 2 4 2 2 2" xfId="8823"/>
    <cellStyle name="常规 10 2 2 2 4 2 2 2 2" xfId="8824"/>
    <cellStyle name="常规 10 2 2 2 4 2 2 2 2 2" xfId="8825"/>
    <cellStyle name="常规 10 2 2 2 4 2 2 2 3" xfId="8826"/>
    <cellStyle name="常规 10 2 2 2 4 2 2 2 4" xfId="8827"/>
    <cellStyle name="常规 10 2 2 2 4 2 2 3" xfId="8828"/>
    <cellStyle name="常规 10 2 2 2 4 2 2 3 2" xfId="8829"/>
    <cellStyle name="常规 10 2 2 2 4 2 2 4" xfId="8830"/>
    <cellStyle name="常规 10 2 2 2 4 2 2 5" xfId="8831"/>
    <cellStyle name="常规 10 2 2 2 4 2 2 6" xfId="8832"/>
    <cellStyle name="常规 10 2 2 2 4 2 3" xfId="8833"/>
    <cellStyle name="常规 10 2 2 2 4 2 3 2" xfId="8834"/>
    <cellStyle name="常规 10 2 2 2 4 2 3 2 2" xfId="8835"/>
    <cellStyle name="常规 10 2 2 2 4 2 3 3" xfId="8836"/>
    <cellStyle name="常规 10 2 2 2 4 2 3 4" xfId="8837"/>
    <cellStyle name="常规 10 2 2 2 4 2 3 5" xfId="8838"/>
    <cellStyle name="常规 10 2 2 2 4 2 4" xfId="8839"/>
    <cellStyle name="常规 10 2 2 2 4 2 4 2" xfId="8840"/>
    <cellStyle name="常规 10 2 2 2 4 2 4 3" xfId="8841"/>
    <cellStyle name="常规 10 2 2 2 4 2 5" xfId="8842"/>
    <cellStyle name="常规 10 2 2 2 4 2 5 2" xfId="8843"/>
    <cellStyle name="常规 10 2 2 2 4 2 6" xfId="8844"/>
    <cellStyle name="常规 10 2 2 2 4 2 6 2" xfId="8845"/>
    <cellStyle name="常规 10 2 2 2 4 2 7" xfId="8846"/>
    <cellStyle name="常规 10 2 2 2 4 3" xfId="8847"/>
    <cellStyle name="常规 10 2 2 2 4 3 2" xfId="8848"/>
    <cellStyle name="常规 10 2 2 2 4 3 2 2" xfId="8849"/>
    <cellStyle name="常规 10 2 2 2 4 3 2 2 2" xfId="8850"/>
    <cellStyle name="常规 10 2 2 2 4 3 2 3" xfId="8851"/>
    <cellStyle name="常规 10 2 2 2 4 3 2 4" xfId="8852"/>
    <cellStyle name="常规 10 2 2 2 4 3 3" xfId="8853"/>
    <cellStyle name="常规 10 2 2 2 4 3 3 2" xfId="8854"/>
    <cellStyle name="常规 10 2 2 2 4 3 4" xfId="8855"/>
    <cellStyle name="常规 10 2 2 2 4 3 5" xfId="8856"/>
    <cellStyle name="常规 10 2 2 2 4 3 6" xfId="8857"/>
    <cellStyle name="常规 10 2 2 2 4 4" xfId="8858"/>
    <cellStyle name="常规 10 2 2 2 4 4 2" xfId="8859"/>
    <cellStyle name="常规 10 2 2 2 4 4 2 2" xfId="8860"/>
    <cellStyle name="常规 10 2 2 2 4 4 3" xfId="8861"/>
    <cellStyle name="常规 10 2 2 2 4 4 4" xfId="8862"/>
    <cellStyle name="常规 10 2 2 2 4 4 5" xfId="8863"/>
    <cellStyle name="常规 10 2 2 2 4 5" xfId="8864"/>
    <cellStyle name="常规 10 2 2 2 4 5 2" xfId="8865"/>
    <cellStyle name="常规 10 2 2 2 4 5 3" xfId="8866"/>
    <cellStyle name="常规 10 2 2 2 4 6" xfId="8867"/>
    <cellStyle name="常规 10 2 2 2 4 6 2" xfId="8868"/>
    <cellStyle name="常规 10 2 2 2 4 7" xfId="8869"/>
    <cellStyle name="常规 10 2 2 2 4 7 2" xfId="8870"/>
    <cellStyle name="常规 10 2 2 2 4 8" xfId="8871"/>
    <cellStyle name="常规 10 2 2 2 5" xfId="8872"/>
    <cellStyle name="常规 10 2 2 2 5 2" xfId="8873"/>
    <cellStyle name="常规 10 2 2 2 5 2 2" xfId="8874"/>
    <cellStyle name="常规 10 2 2 2 5 2 2 2" xfId="8875"/>
    <cellStyle name="常规 10 2 2 2 5 2 2 2 2" xfId="8876"/>
    <cellStyle name="常规 10 2 2 2 5 2 2 2 2 2" xfId="8877"/>
    <cellStyle name="常规 10 2 2 2 5 2 2 2 3" xfId="8878"/>
    <cellStyle name="常规 10 2 2 2 5 2 2 2 4" xfId="8879"/>
    <cellStyle name="常规 10 2 2 2 5 2 2 3" xfId="8880"/>
    <cellStyle name="常规 10 2 2 2 5 2 2 3 2" xfId="8881"/>
    <cellStyle name="常规 10 2 2 2 5 2 2 4" xfId="8882"/>
    <cellStyle name="常规 10 2 2 2 5 2 2 5" xfId="8883"/>
    <cellStyle name="常规 10 2 2 2 5 2 2 6" xfId="8884"/>
    <cellStyle name="常规 10 2 2 2 5 2 3" xfId="8885"/>
    <cellStyle name="常规 10 2 2 2 5 2 3 2" xfId="8886"/>
    <cellStyle name="常规 10 2 2 2 5 2 3 2 2" xfId="8887"/>
    <cellStyle name="常规 10 2 2 2 5 2 3 3" xfId="8888"/>
    <cellStyle name="常规 10 2 2 2 5 2 3 4" xfId="8889"/>
    <cellStyle name="常规 10 2 2 2 5 2 3 5" xfId="8890"/>
    <cellStyle name="常规 10 2 2 2 5 2 4" xfId="8891"/>
    <cellStyle name="常规 10 2 2 2 5 2 4 2" xfId="8892"/>
    <cellStyle name="常规 10 2 2 2 5 2 4 3" xfId="8893"/>
    <cellStyle name="常规 10 2 2 2 5 2 5" xfId="8894"/>
    <cellStyle name="常规 10 2 2 2 5 2 5 2" xfId="8895"/>
    <cellStyle name="常规 10 2 2 2 5 2 6" xfId="8896"/>
    <cellStyle name="常规 10 2 2 2 5 2 6 2" xfId="8897"/>
    <cellStyle name="常规 10 2 2 2 5 2 7" xfId="8898"/>
    <cellStyle name="常规 10 2 2 2 5 3" xfId="8899"/>
    <cellStyle name="常规 10 2 2 2 5 3 2" xfId="8900"/>
    <cellStyle name="常规 10 2 2 2 5 3 2 2" xfId="8901"/>
    <cellStyle name="常规 10 2 2 2 5 3 2 2 2" xfId="8902"/>
    <cellStyle name="常规 10 2 2 2 5 3 2 3" xfId="8903"/>
    <cellStyle name="常规 10 2 2 2 5 3 2 4" xfId="8904"/>
    <cellStyle name="常规 10 2 2 2 5 3 3" xfId="8905"/>
    <cellStyle name="常规 10 2 2 2 5 3 3 2" xfId="8906"/>
    <cellStyle name="常规 10 2 2 2 5 3 4" xfId="8907"/>
    <cellStyle name="常规 10 2 2 2 5 3 5" xfId="8908"/>
    <cellStyle name="常规 10 2 2 2 5 3 6" xfId="8909"/>
    <cellStyle name="常规 10 2 2 2 5 4" xfId="8910"/>
    <cellStyle name="常规 10 2 2 2 5 4 2" xfId="8911"/>
    <cellStyle name="常规 10 2 2 2 5 4 2 2" xfId="8912"/>
    <cellStyle name="常规 10 2 2 2 5 4 3" xfId="8913"/>
    <cellStyle name="常规 10 2 2 2 5 4 4" xfId="8914"/>
    <cellStyle name="常规 10 2 2 2 5 4 5" xfId="8915"/>
    <cellStyle name="常规 10 2 2 2 5 5" xfId="8916"/>
    <cellStyle name="常规 10 2 2 2 5 5 2" xfId="8917"/>
    <cellStyle name="常规 10 2 2 2 5 5 3" xfId="8918"/>
    <cellStyle name="常规 10 2 2 2 5 6" xfId="8919"/>
    <cellStyle name="常规 10 2 2 2 5 6 2" xfId="8920"/>
    <cellStyle name="常规 10 2 2 2 5 7" xfId="8921"/>
    <cellStyle name="常规 10 2 2 2 5 7 2" xfId="8922"/>
    <cellStyle name="常规 10 2 2 2 5 8" xfId="8923"/>
    <cellStyle name="常规 10 2 2 2 6" xfId="8924"/>
    <cellStyle name="常规 10 2 2 2 6 2" xfId="8925"/>
    <cellStyle name="常规 10 2 2 2 6 2 2" xfId="8926"/>
    <cellStyle name="常规 10 2 2 2 6 2 2 2" xfId="8927"/>
    <cellStyle name="常规 10 2 2 2 6 2 2 2 2" xfId="8928"/>
    <cellStyle name="常规 10 2 2 2 6 2 2 3" xfId="8929"/>
    <cellStyle name="常规 10 2 2 2 6 2 2 4" xfId="8930"/>
    <cellStyle name="常规 10 2 2 2 6 2 3" xfId="8931"/>
    <cellStyle name="常规 10 2 2 2 6 2 3 2" xfId="8932"/>
    <cellStyle name="常规 10 2 2 2 6 2 4" xfId="8933"/>
    <cellStyle name="常规 10 2 2 2 6 2 5" xfId="8934"/>
    <cellStyle name="常规 10 2 2 2 6 2 6" xfId="8935"/>
    <cellStyle name="常规 10 2 2 2 6 3" xfId="8936"/>
    <cellStyle name="常规 10 2 2 2 6 3 2" xfId="8937"/>
    <cellStyle name="常规 10 2 2 2 6 3 2 2" xfId="8938"/>
    <cellStyle name="常规 10 2 2 2 6 3 3" xfId="8939"/>
    <cellStyle name="常规 10 2 2 2 6 3 4" xfId="8940"/>
    <cellStyle name="常规 10 2 2 2 6 3 5" xfId="8941"/>
    <cellStyle name="常规 10 2 2 2 6 4" xfId="8942"/>
    <cellStyle name="常规 10 2 2 2 6 4 2" xfId="8943"/>
    <cellStyle name="常规 10 2 2 2 6 4 3" xfId="8944"/>
    <cellStyle name="常规 10 2 2 2 6 5" xfId="8945"/>
    <cellStyle name="常规 10 2 2 2 6 5 2" xfId="8946"/>
    <cellStyle name="常规 10 2 2 2 6 6" xfId="8947"/>
    <cellStyle name="常规 10 2 2 2 6 6 2" xfId="8948"/>
    <cellStyle name="常规 10 2 2 2 6 7" xfId="8949"/>
    <cellStyle name="常规 10 2 2 2 7" xfId="8950"/>
    <cellStyle name="常规 10 2 2 2 7 2" xfId="8951"/>
    <cellStyle name="常规 10 2 2 2 7 2 2" xfId="8952"/>
    <cellStyle name="常规 10 2 2 2 7 2 2 2" xfId="8953"/>
    <cellStyle name="常规 10 2 2 2 7 2 3" xfId="8954"/>
    <cellStyle name="常规 10 2 2 2 7 2 4" xfId="8955"/>
    <cellStyle name="常规 10 2 2 2 7 3" xfId="8956"/>
    <cellStyle name="常规 10 2 2 2 7 3 2" xfId="8957"/>
    <cellStyle name="常规 10 2 2 2 7 4" xfId="8958"/>
    <cellStyle name="常规 10 2 2 2 7 5" xfId="8959"/>
    <cellStyle name="常规 10 2 2 2 7 6" xfId="8960"/>
    <cellStyle name="常规 10 2 2 2 8" xfId="8961"/>
    <cellStyle name="常规 10 2 2 2 8 2" xfId="8962"/>
    <cellStyle name="常规 10 2 2 2 8 2 2" xfId="8963"/>
    <cellStyle name="常规 10 2 2 2 8 2 2 2" xfId="8964"/>
    <cellStyle name="常规 10 2 2 2 8 2 3" xfId="8965"/>
    <cellStyle name="常规 10 2 2 2 8 2 4" xfId="8966"/>
    <cellStyle name="常规 10 2 2 2 8 3" xfId="8967"/>
    <cellStyle name="常规 10 2 2 2 8 3 2" xfId="8968"/>
    <cellStyle name="常规 10 2 2 2 8 4" xfId="8969"/>
    <cellStyle name="常规 10 2 2 2 8 5" xfId="8970"/>
    <cellStyle name="常规 10 2 2 2 8 6" xfId="8971"/>
    <cellStyle name="常规 10 2 2 2 9" xfId="8972"/>
    <cellStyle name="常规 10 2 2 2 9 2" xfId="8973"/>
    <cellStyle name="常规 10 2 2 2 9 2 2" xfId="8974"/>
    <cellStyle name="常规 10 2 2 2 9 3" xfId="8975"/>
    <cellStyle name="常规 10 2 2 2 9 4" xfId="8976"/>
    <cellStyle name="常规 10 2 2 2 9 5" xfId="8977"/>
    <cellStyle name="常规 10 2 2 3" xfId="8978"/>
    <cellStyle name="常规 10 2 2 3 10" xfId="8979"/>
    <cellStyle name="常规 10 2 2 3 2" xfId="8980"/>
    <cellStyle name="常规 10 2 2 3 2 2" xfId="8981"/>
    <cellStyle name="常规 10 2 2 3 2 2 2" xfId="8982"/>
    <cellStyle name="常规 10 2 2 3 2 2 2 2" xfId="8983"/>
    <cellStyle name="常规 10 2 2 3 2 2 2 2 2" xfId="8984"/>
    <cellStyle name="常规 10 2 2 3 2 2 2 2 2 2" xfId="8985"/>
    <cellStyle name="常规 10 2 2 3 2 2 2 2 3" xfId="8986"/>
    <cellStyle name="常规 10 2 2 3 2 2 2 2 4" xfId="8987"/>
    <cellStyle name="常规 10 2 2 3 2 2 2 2 5" xfId="8988"/>
    <cellStyle name="常规 10 2 2 3 2 2 2 3" xfId="8989"/>
    <cellStyle name="常规 10 2 2 3 2 2 2 3 2" xfId="8990"/>
    <cellStyle name="常规 10 2 2 3 2 2 2 3 3" xfId="8991"/>
    <cellStyle name="常规 10 2 2 3 2 2 2 4" xfId="8992"/>
    <cellStyle name="常规 10 2 2 3 2 2 2 4 2" xfId="8993"/>
    <cellStyle name="常规 10 2 2 3 2 2 2 5" xfId="8994"/>
    <cellStyle name="常规 10 2 2 3 2 2 2 5 2" xfId="8995"/>
    <cellStyle name="常规 10 2 2 3 2 2 2 6" xfId="8996"/>
    <cellStyle name="常规 10 2 2 3 2 2 2 7" xfId="8997"/>
    <cellStyle name="常规 10 2 2 3 2 2 3" xfId="8998"/>
    <cellStyle name="常规 10 2 2 3 2 2 3 2" xfId="8999"/>
    <cellStyle name="常规 10 2 2 3 2 2 3 2 2" xfId="9000"/>
    <cellStyle name="常规 10 2 2 3 2 2 3 3" xfId="9001"/>
    <cellStyle name="常规 10 2 2 3 2 2 3 4" xfId="9002"/>
    <cellStyle name="常规 10 2 2 3 2 2 3 5" xfId="9003"/>
    <cellStyle name="常规 10 2 2 3 2 2 4" xfId="9004"/>
    <cellStyle name="常规 10 2 2 3 2 2 4 2" xfId="9005"/>
    <cellStyle name="常规 10 2 2 3 2 2 4 3" xfId="9006"/>
    <cellStyle name="常规 10 2 2 3 2 2 5" xfId="9007"/>
    <cellStyle name="常规 10 2 2 3 2 2 5 2" xfId="9008"/>
    <cellStyle name="常规 10 2 2 3 2 2 6" xfId="9009"/>
    <cellStyle name="常规 10 2 2 3 2 2 6 2" xfId="9010"/>
    <cellStyle name="常规 10 2 2 3 2 2 7" xfId="9011"/>
    <cellStyle name="常规 10 2 2 3 2 2 8" xfId="9012"/>
    <cellStyle name="常规 10 2 2 3 2 3" xfId="9013"/>
    <cellStyle name="常规 10 2 2 3 2 3 2" xfId="9014"/>
    <cellStyle name="常规 10 2 2 3 2 3 2 2" xfId="9015"/>
    <cellStyle name="常规 10 2 2 3 2 3 2 2 2" xfId="9016"/>
    <cellStyle name="常规 10 2 2 3 2 3 2 3" xfId="9017"/>
    <cellStyle name="常规 10 2 2 3 2 3 2 4" xfId="9018"/>
    <cellStyle name="常规 10 2 2 3 2 3 2 5" xfId="9019"/>
    <cellStyle name="常规 10 2 2 3 2 3 3" xfId="9020"/>
    <cellStyle name="常规 10 2 2 3 2 3 3 2" xfId="9021"/>
    <cellStyle name="常规 10 2 2 3 2 3 3 3" xfId="9022"/>
    <cellStyle name="常规 10 2 2 3 2 3 4" xfId="9023"/>
    <cellStyle name="常规 10 2 2 3 2 3 4 2" xfId="9024"/>
    <cellStyle name="常规 10 2 2 3 2 3 5" xfId="9025"/>
    <cellStyle name="常规 10 2 2 3 2 3 5 2" xfId="9026"/>
    <cellStyle name="常规 10 2 2 3 2 3 6" xfId="9027"/>
    <cellStyle name="常规 10 2 2 3 2 3 7" xfId="9028"/>
    <cellStyle name="常规 10 2 2 3 2 4" xfId="9029"/>
    <cellStyle name="常规 10 2 2 3 2 4 2" xfId="9030"/>
    <cellStyle name="常规 10 2 2 3 2 4 2 2" xfId="9031"/>
    <cellStyle name="常规 10 2 2 3 2 4 3" xfId="9032"/>
    <cellStyle name="常规 10 2 2 3 2 4 4" xfId="9033"/>
    <cellStyle name="常规 10 2 2 3 2 4 5" xfId="9034"/>
    <cellStyle name="常规 10 2 2 3 2 5" xfId="9035"/>
    <cellStyle name="常规 10 2 2 3 2 5 2" xfId="9036"/>
    <cellStyle name="常规 10 2 2 3 2 5 2 2" xfId="9037"/>
    <cellStyle name="常规 10 2 2 3 2 5 3" xfId="9038"/>
    <cellStyle name="常规 10 2 2 3 2 5 4" xfId="9039"/>
    <cellStyle name="常规 10 2 2 3 2 5 5" xfId="9040"/>
    <cellStyle name="常规 10 2 2 3 2 6" xfId="9041"/>
    <cellStyle name="常规 10 2 2 3 2 6 2" xfId="9042"/>
    <cellStyle name="常规 10 2 2 3 2 6 3" xfId="9043"/>
    <cellStyle name="常规 10 2 2 3 2 7" xfId="9044"/>
    <cellStyle name="常规 10 2 2 3 2 7 2" xfId="9045"/>
    <cellStyle name="常规 10 2 2 3 2 8" xfId="9046"/>
    <cellStyle name="常规 10 2 2 3 2 8 2" xfId="9047"/>
    <cellStyle name="常规 10 2 2 3 2 9" xfId="9048"/>
    <cellStyle name="常规 10 2 2 3 3" xfId="9049"/>
    <cellStyle name="常规 10 2 2 3 3 2" xfId="9050"/>
    <cellStyle name="常规 10 2 2 3 3 2 2" xfId="9051"/>
    <cellStyle name="常规 10 2 2 3 3 2 2 2" xfId="9052"/>
    <cellStyle name="常规 10 2 2 3 3 2 2 2 2" xfId="9053"/>
    <cellStyle name="常规 10 2 2 3 3 2 2 3" xfId="9054"/>
    <cellStyle name="常规 10 2 2 3 3 2 2 4" xfId="9055"/>
    <cellStyle name="常规 10 2 2 3 3 2 2 5" xfId="9056"/>
    <cellStyle name="常规 10 2 2 3 3 2 3" xfId="9057"/>
    <cellStyle name="常规 10 2 2 3 3 2 3 2" xfId="9058"/>
    <cellStyle name="常规 10 2 2 3 3 2 3 3" xfId="9059"/>
    <cellStyle name="常规 10 2 2 3 3 2 4" xfId="9060"/>
    <cellStyle name="常规 10 2 2 3 3 2 4 2" xfId="9061"/>
    <cellStyle name="常规 10 2 2 3 3 2 5" xfId="9062"/>
    <cellStyle name="常规 10 2 2 3 3 2 5 2" xfId="9063"/>
    <cellStyle name="常规 10 2 2 3 3 2 6" xfId="9064"/>
    <cellStyle name="常规 10 2 2 3 3 2 7" xfId="9065"/>
    <cellStyle name="常规 10 2 2 3 3 3" xfId="9066"/>
    <cellStyle name="常规 10 2 2 3 3 3 2" xfId="9067"/>
    <cellStyle name="常规 10 2 2 3 3 3 2 2" xfId="9068"/>
    <cellStyle name="常规 10 2 2 3 3 3 3" xfId="9069"/>
    <cellStyle name="常规 10 2 2 3 3 3 4" xfId="9070"/>
    <cellStyle name="常规 10 2 2 3 3 3 5" xfId="9071"/>
    <cellStyle name="常规 10 2 2 3 3 4" xfId="9072"/>
    <cellStyle name="常规 10 2 2 3 3 4 2" xfId="9073"/>
    <cellStyle name="常规 10 2 2 3 3 4 3" xfId="9074"/>
    <cellStyle name="常规 10 2 2 3 3 5" xfId="9075"/>
    <cellStyle name="常规 10 2 2 3 3 5 2" xfId="9076"/>
    <cellStyle name="常规 10 2 2 3 3 6" xfId="9077"/>
    <cellStyle name="常规 10 2 2 3 3 6 2" xfId="9078"/>
    <cellStyle name="常规 10 2 2 3 3 7" xfId="9079"/>
    <cellStyle name="常规 10 2 2 3 3 8" xfId="9080"/>
    <cellStyle name="常规 10 2 2 3 4" xfId="9081"/>
    <cellStyle name="常规 10 2 2 3 4 2" xfId="9082"/>
    <cellStyle name="常规 10 2 2 3 4 2 2" xfId="9083"/>
    <cellStyle name="常规 10 2 2 3 4 2 2 2" xfId="9084"/>
    <cellStyle name="常规 10 2 2 3 4 2 3" xfId="9085"/>
    <cellStyle name="常规 10 2 2 3 4 2 4" xfId="9086"/>
    <cellStyle name="常规 10 2 2 3 4 2 5" xfId="9087"/>
    <cellStyle name="常规 10 2 2 3 4 3" xfId="9088"/>
    <cellStyle name="常规 10 2 2 3 4 3 2" xfId="9089"/>
    <cellStyle name="常规 10 2 2 3 4 3 3" xfId="9090"/>
    <cellStyle name="常规 10 2 2 3 4 4" xfId="9091"/>
    <cellStyle name="常规 10 2 2 3 4 4 2" xfId="9092"/>
    <cellStyle name="常规 10 2 2 3 4 5" xfId="9093"/>
    <cellStyle name="常规 10 2 2 3 4 5 2" xfId="9094"/>
    <cellStyle name="常规 10 2 2 3 4 6" xfId="9095"/>
    <cellStyle name="常规 10 2 2 3 4 7" xfId="9096"/>
    <cellStyle name="常规 10 2 2 3 5" xfId="9097"/>
    <cellStyle name="常规 10 2 2 3 5 2" xfId="9098"/>
    <cellStyle name="常规 10 2 2 3 5 2 2" xfId="9099"/>
    <cellStyle name="常规 10 2 2 3 5 3" xfId="9100"/>
    <cellStyle name="常规 10 2 2 3 5 4" xfId="9101"/>
    <cellStyle name="常规 10 2 2 3 5 5" xfId="9102"/>
    <cellStyle name="常规 10 2 2 3 6" xfId="9103"/>
    <cellStyle name="常规 10 2 2 3 6 2" xfId="9104"/>
    <cellStyle name="常规 10 2 2 3 6 2 2" xfId="9105"/>
    <cellStyle name="常规 10 2 2 3 6 3" xfId="9106"/>
    <cellStyle name="常规 10 2 2 3 6 4" xfId="9107"/>
    <cellStyle name="常规 10 2 2 3 6 5" xfId="9108"/>
    <cellStyle name="常规 10 2 2 3 7" xfId="9109"/>
    <cellStyle name="常规 10 2 2 3 7 2" xfId="9110"/>
    <cellStyle name="常规 10 2 2 3 7 3" xfId="9111"/>
    <cellStyle name="常规 10 2 2 3 8" xfId="9112"/>
    <cellStyle name="常规 10 2 2 3 8 2" xfId="9113"/>
    <cellStyle name="常规 10 2 2 3 9" xfId="9114"/>
    <cellStyle name="常规 10 2 2 3 9 2" xfId="9115"/>
    <cellStyle name="常规 10 2 2 4" xfId="9116"/>
    <cellStyle name="常规 10 2 2 4 2" xfId="9117"/>
    <cellStyle name="常规 10 2 2 4 2 2" xfId="9118"/>
    <cellStyle name="常规 10 2 2 4 2 2 2" xfId="9119"/>
    <cellStyle name="常规 10 2 2 4 2 2 2 2" xfId="9120"/>
    <cellStyle name="常规 10 2 2 4 2 2 2 2 2" xfId="9121"/>
    <cellStyle name="常规 10 2 2 4 2 2 2 3" xfId="9122"/>
    <cellStyle name="常规 10 2 2 4 2 2 2 4" xfId="9123"/>
    <cellStyle name="常规 10 2 2 4 2 2 2 5" xfId="9124"/>
    <cellStyle name="常规 10 2 2 4 2 2 3" xfId="9125"/>
    <cellStyle name="常规 10 2 2 4 2 2 3 2" xfId="9126"/>
    <cellStyle name="常规 10 2 2 4 2 2 3 3" xfId="9127"/>
    <cellStyle name="常规 10 2 2 4 2 2 4" xfId="9128"/>
    <cellStyle name="常规 10 2 2 4 2 2 4 2" xfId="9129"/>
    <cellStyle name="常规 10 2 2 4 2 2 5" xfId="9130"/>
    <cellStyle name="常规 10 2 2 4 2 2 5 2" xfId="9131"/>
    <cellStyle name="常规 10 2 2 4 2 2 6" xfId="9132"/>
    <cellStyle name="常规 10 2 2 4 2 2 7" xfId="9133"/>
    <cellStyle name="常规 10 2 2 4 2 3" xfId="9134"/>
    <cellStyle name="常规 10 2 2 4 2 3 2" xfId="9135"/>
    <cellStyle name="常规 10 2 2 4 2 3 2 2" xfId="9136"/>
    <cellStyle name="常规 10 2 2 4 2 3 3" xfId="9137"/>
    <cellStyle name="常规 10 2 2 4 2 3 4" xfId="9138"/>
    <cellStyle name="常规 10 2 2 4 2 3 5" xfId="9139"/>
    <cellStyle name="常规 10 2 2 4 2 4" xfId="9140"/>
    <cellStyle name="常规 10 2 2 4 2 4 2" xfId="9141"/>
    <cellStyle name="常规 10 2 2 4 2 4 3" xfId="9142"/>
    <cellStyle name="常规 10 2 2 4 2 5" xfId="9143"/>
    <cellStyle name="常规 10 2 2 4 2 5 2" xfId="9144"/>
    <cellStyle name="常规 10 2 2 4 2 6" xfId="9145"/>
    <cellStyle name="常规 10 2 2 4 2 6 2" xfId="9146"/>
    <cellStyle name="常规 10 2 2 4 2 7" xfId="9147"/>
    <cellStyle name="常规 10 2 2 4 2 8" xfId="9148"/>
    <cellStyle name="常规 10 2 2 4 3" xfId="9149"/>
    <cellStyle name="常规 10 2 2 4 3 2" xfId="9150"/>
    <cellStyle name="常规 10 2 2 4 3 2 2" xfId="9151"/>
    <cellStyle name="常规 10 2 2 4 3 2 2 2" xfId="9152"/>
    <cellStyle name="常规 10 2 2 4 3 2 3" xfId="9153"/>
    <cellStyle name="常规 10 2 2 4 3 2 4" xfId="9154"/>
    <cellStyle name="常规 10 2 2 4 3 2 5" xfId="9155"/>
    <cellStyle name="常规 10 2 2 4 3 3" xfId="9156"/>
    <cellStyle name="常规 10 2 2 4 3 3 2" xfId="9157"/>
    <cellStyle name="常规 10 2 2 4 3 3 3" xfId="9158"/>
    <cellStyle name="常规 10 2 2 4 3 4" xfId="9159"/>
    <cellStyle name="常规 10 2 2 4 3 4 2" xfId="9160"/>
    <cellStyle name="常规 10 2 2 4 3 5" xfId="9161"/>
    <cellStyle name="常规 10 2 2 4 3 5 2" xfId="9162"/>
    <cellStyle name="常规 10 2 2 4 3 6" xfId="9163"/>
    <cellStyle name="常规 10 2 2 4 3 7" xfId="9164"/>
    <cellStyle name="常规 10 2 2 4 4" xfId="9165"/>
    <cellStyle name="常规 10 2 2 4 4 2" xfId="9166"/>
    <cellStyle name="常规 10 2 2 4 4 2 2" xfId="9167"/>
    <cellStyle name="常规 10 2 2 4 4 3" xfId="9168"/>
    <cellStyle name="常规 10 2 2 4 4 4" xfId="9169"/>
    <cellStyle name="常规 10 2 2 4 4 5" xfId="9170"/>
    <cellStyle name="常规 10 2 2 4 5" xfId="9171"/>
    <cellStyle name="常规 10 2 2 4 5 2" xfId="9172"/>
    <cellStyle name="常规 10 2 2 4 5 2 2" xfId="9173"/>
    <cellStyle name="常规 10 2 2 4 5 3" xfId="9174"/>
    <cellStyle name="常规 10 2 2 4 5 4" xfId="9175"/>
    <cellStyle name="常规 10 2 2 4 5 5" xfId="9176"/>
    <cellStyle name="常规 10 2 2 4 6" xfId="9177"/>
    <cellStyle name="常规 10 2 2 4 6 2" xfId="9178"/>
    <cellStyle name="常规 10 2 2 4 6 3" xfId="9179"/>
    <cellStyle name="常规 10 2 2 4 7" xfId="9180"/>
    <cellStyle name="常规 10 2 2 4 7 2" xfId="9181"/>
    <cellStyle name="常规 10 2 2 4 8" xfId="9182"/>
    <cellStyle name="常规 10 2 2 4 8 2" xfId="9183"/>
    <cellStyle name="常规 10 2 2 4 9" xfId="9184"/>
    <cellStyle name="常规 10 2 2 5" xfId="9185"/>
    <cellStyle name="常规 10 2 2 5 2" xfId="9186"/>
    <cellStyle name="常规 10 2 2 5 2 2" xfId="9187"/>
    <cellStyle name="常规 10 2 2 5 2 2 2" xfId="9188"/>
    <cellStyle name="常规 10 2 2 5 2 2 2 2" xfId="9189"/>
    <cellStyle name="常规 10 2 2 5 2 2 2 2 2" xfId="9190"/>
    <cellStyle name="常规 10 2 2 5 2 2 2 3" xfId="9191"/>
    <cellStyle name="常规 10 2 2 5 2 2 2 4" xfId="9192"/>
    <cellStyle name="常规 10 2 2 5 2 2 2 5" xfId="9193"/>
    <cellStyle name="常规 10 2 2 5 2 2 3" xfId="9194"/>
    <cellStyle name="常规 10 2 2 5 2 2 3 2" xfId="9195"/>
    <cellStyle name="常规 10 2 2 5 2 2 3 3" xfId="9196"/>
    <cellStyle name="常规 10 2 2 5 2 2 4" xfId="9197"/>
    <cellStyle name="常规 10 2 2 5 2 2 4 2" xfId="9198"/>
    <cellStyle name="常规 10 2 2 5 2 2 5" xfId="9199"/>
    <cellStyle name="常规 10 2 2 5 2 2 5 2" xfId="9200"/>
    <cellStyle name="常规 10 2 2 5 2 2 6" xfId="9201"/>
    <cellStyle name="常规 10 2 2 5 2 2 7" xfId="9202"/>
    <cellStyle name="常规 10 2 2 5 2 3" xfId="9203"/>
    <cellStyle name="常规 10 2 2 5 2 3 2" xfId="9204"/>
    <cellStyle name="常规 10 2 2 5 2 3 2 2" xfId="9205"/>
    <cellStyle name="常规 10 2 2 5 2 3 3" xfId="9206"/>
    <cellStyle name="常规 10 2 2 5 2 3 4" xfId="9207"/>
    <cellStyle name="常规 10 2 2 5 2 3 5" xfId="9208"/>
    <cellStyle name="常规 10 2 2 5 2 4" xfId="9209"/>
    <cellStyle name="常规 10 2 2 5 2 4 2" xfId="9210"/>
    <cellStyle name="常规 10 2 2 5 2 4 3" xfId="9211"/>
    <cellStyle name="常规 10 2 2 5 2 5" xfId="9212"/>
    <cellStyle name="常规 10 2 2 5 2 5 2" xfId="9213"/>
    <cellStyle name="常规 10 2 2 5 2 6" xfId="9214"/>
    <cellStyle name="常规 10 2 2 5 2 6 2" xfId="9215"/>
    <cellStyle name="常规 10 2 2 5 2 7" xfId="9216"/>
    <cellStyle name="常规 10 2 2 5 2 8" xfId="9217"/>
    <cellStyle name="常规 10 2 2 5 3" xfId="9218"/>
    <cellStyle name="常规 10 2 2 5 3 2" xfId="9219"/>
    <cellStyle name="常规 10 2 2 5 3 2 2" xfId="9220"/>
    <cellStyle name="常规 10 2 2 5 3 2 2 2" xfId="9221"/>
    <cellStyle name="常规 10 2 2 5 3 2 3" xfId="9222"/>
    <cellStyle name="常规 10 2 2 5 3 2 4" xfId="9223"/>
    <cellStyle name="常规 10 2 2 5 3 2 5" xfId="9224"/>
    <cellStyle name="常规 10 2 2 5 3 3" xfId="9225"/>
    <cellStyle name="常规 10 2 2 5 3 3 2" xfId="9226"/>
    <cellStyle name="常规 10 2 2 5 3 3 3" xfId="9227"/>
    <cellStyle name="常规 10 2 2 5 3 4" xfId="9228"/>
    <cellStyle name="常规 10 2 2 5 3 4 2" xfId="9229"/>
    <cellStyle name="常规 10 2 2 5 3 5" xfId="9230"/>
    <cellStyle name="常规 10 2 2 5 3 5 2" xfId="9231"/>
    <cellStyle name="常规 10 2 2 5 3 6" xfId="9232"/>
    <cellStyle name="常规 10 2 2 5 3 7" xfId="9233"/>
    <cellStyle name="常规 10 2 2 5 4" xfId="9234"/>
    <cellStyle name="常规 10 2 2 5 4 2" xfId="9235"/>
    <cellStyle name="常规 10 2 2 5 4 2 2" xfId="9236"/>
    <cellStyle name="常规 10 2 2 5 4 3" xfId="9237"/>
    <cellStyle name="常规 10 2 2 5 4 4" xfId="9238"/>
    <cellStyle name="常规 10 2 2 5 4 5" xfId="9239"/>
    <cellStyle name="常规 10 2 2 5 5" xfId="9240"/>
    <cellStyle name="常规 10 2 2 5 5 2" xfId="9241"/>
    <cellStyle name="常规 10 2 2 5 5 3" xfId="9242"/>
    <cellStyle name="常规 10 2 2 5 6" xfId="9243"/>
    <cellStyle name="常规 10 2 2 5 6 2" xfId="9244"/>
    <cellStyle name="常规 10 2 2 5 7" xfId="9245"/>
    <cellStyle name="常规 10 2 2 5 7 2" xfId="9246"/>
    <cellStyle name="常规 10 2 2 5 8" xfId="9247"/>
    <cellStyle name="常规 10 2 2 5 9" xfId="9248"/>
    <cellStyle name="常规 10 2 2 6" xfId="9249"/>
    <cellStyle name="常规 10 2 2 6 2" xfId="9250"/>
    <cellStyle name="常规 10 2 2 6 2 2" xfId="9251"/>
    <cellStyle name="常规 10 2 2 6 2 2 2" xfId="9252"/>
    <cellStyle name="常规 10 2 2 6 2 2 2 2" xfId="9253"/>
    <cellStyle name="常规 10 2 2 6 2 2 2 2 2" xfId="9254"/>
    <cellStyle name="常规 10 2 2 6 2 2 2 3" xfId="9255"/>
    <cellStyle name="常规 10 2 2 6 2 2 2 4" xfId="9256"/>
    <cellStyle name="常规 10 2 2 6 2 2 3" xfId="9257"/>
    <cellStyle name="常规 10 2 2 6 2 2 3 2" xfId="9258"/>
    <cellStyle name="常规 10 2 2 6 2 2 4" xfId="9259"/>
    <cellStyle name="常规 10 2 2 6 2 2 5" xfId="9260"/>
    <cellStyle name="常规 10 2 2 6 2 2 6" xfId="9261"/>
    <cellStyle name="常规 10 2 2 6 2 3" xfId="9262"/>
    <cellStyle name="常规 10 2 2 6 2 3 2" xfId="9263"/>
    <cellStyle name="常规 10 2 2 6 2 3 2 2" xfId="9264"/>
    <cellStyle name="常规 10 2 2 6 2 3 3" xfId="9265"/>
    <cellStyle name="常规 10 2 2 6 2 3 4" xfId="9266"/>
    <cellStyle name="常规 10 2 2 6 2 3 5" xfId="9267"/>
    <cellStyle name="常规 10 2 2 6 2 4" xfId="9268"/>
    <cellStyle name="常规 10 2 2 6 2 4 2" xfId="9269"/>
    <cellStyle name="常规 10 2 2 6 2 4 3" xfId="9270"/>
    <cellStyle name="常规 10 2 2 6 2 5" xfId="9271"/>
    <cellStyle name="常规 10 2 2 6 2 5 2" xfId="9272"/>
    <cellStyle name="常规 10 2 2 6 2 6" xfId="9273"/>
    <cellStyle name="常规 10 2 2 6 2 6 2" xfId="9274"/>
    <cellStyle name="常规 10 2 2 6 2 7" xfId="9275"/>
    <cellStyle name="常规 10 2 2 6 3" xfId="9276"/>
    <cellStyle name="常规 10 2 2 6 3 2" xfId="9277"/>
    <cellStyle name="常规 10 2 2 6 3 2 2" xfId="9278"/>
    <cellStyle name="常规 10 2 2 6 3 2 2 2" xfId="9279"/>
    <cellStyle name="常规 10 2 2 6 3 2 3" xfId="9280"/>
    <cellStyle name="常规 10 2 2 6 3 2 4" xfId="9281"/>
    <cellStyle name="常规 10 2 2 6 3 3" xfId="9282"/>
    <cellStyle name="常规 10 2 2 6 3 3 2" xfId="9283"/>
    <cellStyle name="常规 10 2 2 6 3 4" xfId="9284"/>
    <cellStyle name="常规 10 2 2 6 3 5" xfId="9285"/>
    <cellStyle name="常规 10 2 2 6 3 6" xfId="9286"/>
    <cellStyle name="常规 10 2 2 6 4" xfId="9287"/>
    <cellStyle name="常规 10 2 2 6 4 2" xfId="9288"/>
    <cellStyle name="常规 10 2 2 6 4 2 2" xfId="9289"/>
    <cellStyle name="常规 10 2 2 6 4 3" xfId="9290"/>
    <cellStyle name="常规 10 2 2 6 4 4" xfId="9291"/>
    <cellStyle name="常规 10 2 2 6 4 5" xfId="9292"/>
    <cellStyle name="常规 10 2 2 6 5" xfId="9293"/>
    <cellStyle name="常规 10 2 2 6 5 2" xfId="9294"/>
    <cellStyle name="常规 10 2 2 6 5 3" xfId="9295"/>
    <cellStyle name="常规 10 2 2 6 6" xfId="9296"/>
    <cellStyle name="常规 10 2 2 6 6 2" xfId="9297"/>
    <cellStyle name="常规 10 2 2 6 7" xfId="9298"/>
    <cellStyle name="常规 10 2 2 6 7 2" xfId="9299"/>
    <cellStyle name="常规 10 2 2 6 8" xfId="9300"/>
    <cellStyle name="常规 10 2 2 7" xfId="9301"/>
    <cellStyle name="常规 10 2 2 7 2" xfId="9302"/>
    <cellStyle name="常规 10 2 2 7 2 2" xfId="9303"/>
    <cellStyle name="常规 10 2 2 7 2 2 2" xfId="9304"/>
    <cellStyle name="常规 10 2 2 7 2 2 2 2" xfId="9305"/>
    <cellStyle name="常规 10 2 2 7 2 2 3" xfId="9306"/>
    <cellStyle name="常规 10 2 2 7 2 2 4" xfId="9307"/>
    <cellStyle name="常规 10 2 2 7 2 2 5" xfId="9308"/>
    <cellStyle name="常规 10 2 2 7 2 3" xfId="9309"/>
    <cellStyle name="常规 10 2 2 7 2 3 2" xfId="9310"/>
    <cellStyle name="常规 10 2 2 7 2 3 3" xfId="9311"/>
    <cellStyle name="常规 10 2 2 7 2 4" xfId="9312"/>
    <cellStyle name="常规 10 2 2 7 2 4 2" xfId="9313"/>
    <cellStyle name="常规 10 2 2 7 2 5" xfId="9314"/>
    <cellStyle name="常规 10 2 2 7 2 5 2" xfId="9315"/>
    <cellStyle name="常规 10 2 2 7 2 6" xfId="9316"/>
    <cellStyle name="常规 10 2 2 7 2 7" xfId="9317"/>
    <cellStyle name="常规 10 2 2 7 3" xfId="9318"/>
    <cellStyle name="常规 10 2 2 7 3 2" xfId="9319"/>
    <cellStyle name="常规 10 2 2 7 3 2 2" xfId="9320"/>
    <cellStyle name="常规 10 2 2 7 3 3" xfId="9321"/>
    <cellStyle name="常规 10 2 2 7 3 4" xfId="9322"/>
    <cellStyle name="常规 10 2 2 7 3 5" xfId="9323"/>
    <cellStyle name="常规 10 2 2 7 4" xfId="9324"/>
    <cellStyle name="常规 10 2 2 7 4 2" xfId="9325"/>
    <cellStyle name="常规 10 2 2 7 4 3" xfId="9326"/>
    <cellStyle name="常规 10 2 2 7 5" xfId="9327"/>
    <cellStyle name="常规 10 2 2 7 5 2" xfId="9328"/>
    <cellStyle name="常规 10 2 2 7 6" xfId="9329"/>
    <cellStyle name="常规 10 2 2 7 6 2" xfId="9330"/>
    <cellStyle name="常规 10 2 2 7 7" xfId="9331"/>
    <cellStyle name="常规 10 2 2 7 8" xfId="9332"/>
    <cellStyle name="常规 10 2 2 8" xfId="9333"/>
    <cellStyle name="常规 10 2 2 8 2" xfId="9334"/>
    <cellStyle name="常规 10 2 2 8 2 2" xfId="9335"/>
    <cellStyle name="常规 10 2 2 8 2 2 2" xfId="9336"/>
    <cellStyle name="常规 10 2 2 8 2 2 3" xfId="9337"/>
    <cellStyle name="常规 10 2 2 8 2 3" xfId="9338"/>
    <cellStyle name="常规 10 2 2 8 2 3 2" xfId="9339"/>
    <cellStyle name="常规 10 2 2 8 2 4" xfId="9340"/>
    <cellStyle name="常规 10 2 2 8 2 4 2" xfId="9341"/>
    <cellStyle name="常规 10 2 2 8 2 5" xfId="9342"/>
    <cellStyle name="常规 10 2 2 8 2 6" xfId="9343"/>
    <cellStyle name="常规 10 2 2 8 2 7" xfId="9344"/>
    <cellStyle name="常规 10 2 2 8 3" xfId="9345"/>
    <cellStyle name="常规 10 2 2 8 3 2" xfId="9346"/>
    <cellStyle name="常规 10 2 2 8 3 3" xfId="9347"/>
    <cellStyle name="常规 10 2 2 8 4" xfId="9348"/>
    <cellStyle name="常规 10 2 2 8 4 2" xfId="9349"/>
    <cellStyle name="常规 10 2 2 8 5" xfId="9350"/>
    <cellStyle name="常规 10 2 2 8 5 2" xfId="9351"/>
    <cellStyle name="常规 10 2 2 8 6" xfId="9352"/>
    <cellStyle name="常规 10 2 2 8 7" xfId="9353"/>
    <cellStyle name="常规 10 2 2 8 8" xfId="9354"/>
    <cellStyle name="常规 10 2 2 9" xfId="9355"/>
    <cellStyle name="常规 10 2 2 9 2" xfId="9356"/>
    <cellStyle name="常规 10 2 2 9 2 2" xfId="9357"/>
    <cellStyle name="常规 10 2 2 9 2 2 2" xfId="9358"/>
    <cellStyle name="常规 10 2 2 9 2 3" xfId="9359"/>
    <cellStyle name="常规 10 2 2 9 2 4" xfId="9360"/>
    <cellStyle name="常规 10 2 2 9 2 5" xfId="9361"/>
    <cellStyle name="常规 10 2 2 9 3" xfId="9362"/>
    <cellStyle name="常规 10 2 2 9 3 2" xfId="9363"/>
    <cellStyle name="常规 10 2 2 9 3 3" xfId="9364"/>
    <cellStyle name="常规 10 2 2 9 4" xfId="9365"/>
    <cellStyle name="常规 10 2 2 9 4 2" xfId="9366"/>
    <cellStyle name="常规 10 2 2 9 5" xfId="9367"/>
    <cellStyle name="常规 10 2 2 9 5 2" xfId="9368"/>
    <cellStyle name="常规 10 2 2 9 6" xfId="9369"/>
    <cellStyle name="常规 10 2 2 9 7" xfId="9370"/>
    <cellStyle name="常规 10 2 20" xfId="9371"/>
    <cellStyle name="常规 10 2 3" xfId="9372"/>
    <cellStyle name="常规 10 2 3 10" xfId="9373"/>
    <cellStyle name="常规 10 2 3 10 2" xfId="9374"/>
    <cellStyle name="常规 10 2 3 11" xfId="9375"/>
    <cellStyle name="常规 10 2 3 12" xfId="9376"/>
    <cellStyle name="常规 10 2 3 2" xfId="9377"/>
    <cellStyle name="常规 10 2 3 2 10" xfId="9378"/>
    <cellStyle name="常规 10 2 3 2 2" xfId="9379"/>
    <cellStyle name="常规 10 2 3 2 2 2" xfId="9380"/>
    <cellStyle name="常规 10 2 3 2 2 2 2" xfId="9381"/>
    <cellStyle name="常规 10 2 3 2 2 2 2 2" xfId="9382"/>
    <cellStyle name="常规 10 2 3 2 2 2 2 2 2" xfId="9383"/>
    <cellStyle name="常规 10 2 3 2 2 2 2 2 2 2" xfId="9384"/>
    <cellStyle name="常规 10 2 3 2 2 2 2 2 3" xfId="9385"/>
    <cellStyle name="常规 10 2 3 2 2 2 2 2 4" xfId="9386"/>
    <cellStyle name="常规 10 2 3 2 2 2 2 2 5" xfId="9387"/>
    <cellStyle name="常规 10 2 3 2 2 2 2 3" xfId="9388"/>
    <cellStyle name="常规 10 2 3 2 2 2 2 3 2" xfId="9389"/>
    <cellStyle name="常规 10 2 3 2 2 2 2 3 3" xfId="9390"/>
    <cellStyle name="常规 10 2 3 2 2 2 2 4" xfId="9391"/>
    <cellStyle name="常规 10 2 3 2 2 2 2 4 2" xfId="9392"/>
    <cellStyle name="常规 10 2 3 2 2 2 2 5" xfId="9393"/>
    <cellStyle name="常规 10 2 3 2 2 2 2 5 2" xfId="9394"/>
    <cellStyle name="常规 10 2 3 2 2 2 2 6" xfId="9395"/>
    <cellStyle name="常规 10 2 3 2 2 2 2 7" xfId="9396"/>
    <cellStyle name="常规 10 2 3 2 2 2 3" xfId="9397"/>
    <cellStyle name="常规 10 2 3 2 2 2 3 2" xfId="9398"/>
    <cellStyle name="常规 10 2 3 2 2 2 3 2 2" xfId="9399"/>
    <cellStyle name="常规 10 2 3 2 2 2 3 3" xfId="9400"/>
    <cellStyle name="常规 10 2 3 2 2 2 3 4" xfId="9401"/>
    <cellStyle name="常规 10 2 3 2 2 2 3 5" xfId="9402"/>
    <cellStyle name="常规 10 2 3 2 2 2 4" xfId="9403"/>
    <cellStyle name="常规 10 2 3 2 2 2 4 2" xfId="9404"/>
    <cellStyle name="常规 10 2 3 2 2 2 4 3" xfId="9405"/>
    <cellStyle name="常规 10 2 3 2 2 2 5" xfId="9406"/>
    <cellStyle name="常规 10 2 3 2 2 2 5 2" xfId="9407"/>
    <cellStyle name="常规 10 2 3 2 2 2 6" xfId="9408"/>
    <cellStyle name="常规 10 2 3 2 2 2 6 2" xfId="9409"/>
    <cellStyle name="常规 10 2 3 2 2 2 7" xfId="9410"/>
    <cellStyle name="常规 10 2 3 2 2 2 8" xfId="9411"/>
    <cellStyle name="常规 10 2 3 2 2 3" xfId="9412"/>
    <cellStyle name="常规 10 2 3 2 2 3 2" xfId="9413"/>
    <cellStyle name="常规 10 2 3 2 2 3 2 2" xfId="9414"/>
    <cellStyle name="常规 10 2 3 2 2 3 2 2 2" xfId="9415"/>
    <cellStyle name="常规 10 2 3 2 2 3 2 3" xfId="9416"/>
    <cellStyle name="常规 10 2 3 2 2 3 2 4" xfId="9417"/>
    <cellStyle name="常规 10 2 3 2 2 3 2 5" xfId="9418"/>
    <cellStyle name="常规 10 2 3 2 2 3 3" xfId="9419"/>
    <cellStyle name="常规 10 2 3 2 2 3 3 2" xfId="9420"/>
    <cellStyle name="常规 10 2 3 2 2 3 3 3" xfId="9421"/>
    <cellStyle name="常规 10 2 3 2 2 3 4" xfId="9422"/>
    <cellStyle name="常规 10 2 3 2 2 3 4 2" xfId="9423"/>
    <cellStyle name="常规 10 2 3 2 2 3 5" xfId="9424"/>
    <cellStyle name="常规 10 2 3 2 2 3 5 2" xfId="9425"/>
    <cellStyle name="常规 10 2 3 2 2 3 6" xfId="9426"/>
    <cellStyle name="常规 10 2 3 2 2 3 7" xfId="9427"/>
    <cellStyle name="常规 10 2 3 2 2 4" xfId="9428"/>
    <cellStyle name="常规 10 2 3 2 2 4 2" xfId="9429"/>
    <cellStyle name="常规 10 2 3 2 2 4 2 2" xfId="9430"/>
    <cellStyle name="常规 10 2 3 2 2 4 3" xfId="9431"/>
    <cellStyle name="常规 10 2 3 2 2 4 4" xfId="9432"/>
    <cellStyle name="常规 10 2 3 2 2 4 5" xfId="9433"/>
    <cellStyle name="常规 10 2 3 2 2 5" xfId="9434"/>
    <cellStyle name="常规 10 2 3 2 2 5 2" xfId="9435"/>
    <cellStyle name="常规 10 2 3 2 2 5 3" xfId="9436"/>
    <cellStyle name="常规 10 2 3 2 2 6" xfId="9437"/>
    <cellStyle name="常规 10 2 3 2 2 6 2" xfId="9438"/>
    <cellStyle name="常规 10 2 3 2 2 7" xfId="9439"/>
    <cellStyle name="常规 10 2 3 2 2 7 2" xfId="9440"/>
    <cellStyle name="常规 10 2 3 2 2 8" xfId="9441"/>
    <cellStyle name="常规 10 2 3 2 2 9" xfId="9442"/>
    <cellStyle name="常规 10 2 3 2 3" xfId="9443"/>
    <cellStyle name="常规 10 2 3 2 3 2" xfId="9444"/>
    <cellStyle name="常规 10 2 3 2 3 2 2" xfId="9445"/>
    <cellStyle name="常规 10 2 3 2 3 2 2 2" xfId="9446"/>
    <cellStyle name="常规 10 2 3 2 3 2 2 2 2" xfId="9447"/>
    <cellStyle name="常规 10 2 3 2 3 2 2 3" xfId="9448"/>
    <cellStyle name="常规 10 2 3 2 3 2 2 4" xfId="9449"/>
    <cellStyle name="常规 10 2 3 2 3 2 2 5" xfId="9450"/>
    <cellStyle name="常规 10 2 3 2 3 2 3" xfId="9451"/>
    <cellStyle name="常规 10 2 3 2 3 2 3 2" xfId="9452"/>
    <cellStyle name="常规 10 2 3 2 3 2 3 3" xfId="9453"/>
    <cellStyle name="常规 10 2 3 2 3 2 4" xfId="9454"/>
    <cellStyle name="常规 10 2 3 2 3 2 4 2" xfId="9455"/>
    <cellStyle name="常规 10 2 3 2 3 2 5" xfId="9456"/>
    <cellStyle name="常规 10 2 3 2 3 2 5 2" xfId="9457"/>
    <cellStyle name="常规 10 2 3 2 3 2 6" xfId="9458"/>
    <cellStyle name="常规 10 2 3 2 3 2 7" xfId="9459"/>
    <cellStyle name="常规 10 2 3 2 3 3" xfId="9460"/>
    <cellStyle name="常规 10 2 3 2 3 3 2" xfId="9461"/>
    <cellStyle name="常规 10 2 3 2 3 3 2 2" xfId="9462"/>
    <cellStyle name="常规 10 2 3 2 3 3 3" xfId="9463"/>
    <cellStyle name="常规 10 2 3 2 3 3 4" xfId="9464"/>
    <cellStyle name="常规 10 2 3 2 3 3 5" xfId="9465"/>
    <cellStyle name="常规 10 2 3 2 3 4" xfId="9466"/>
    <cellStyle name="常规 10 2 3 2 3 4 2" xfId="9467"/>
    <cellStyle name="常规 10 2 3 2 3 4 3" xfId="9468"/>
    <cellStyle name="常规 10 2 3 2 3 5" xfId="9469"/>
    <cellStyle name="常规 10 2 3 2 3 5 2" xfId="9470"/>
    <cellStyle name="常规 10 2 3 2 3 6" xfId="9471"/>
    <cellStyle name="常规 10 2 3 2 3 6 2" xfId="9472"/>
    <cellStyle name="常规 10 2 3 2 3 7" xfId="9473"/>
    <cellStyle name="常规 10 2 3 2 3 8" xfId="9474"/>
    <cellStyle name="常规 10 2 3 2 4" xfId="9475"/>
    <cellStyle name="常规 10 2 3 2 4 2" xfId="9476"/>
    <cellStyle name="常规 10 2 3 2 4 2 2" xfId="9477"/>
    <cellStyle name="常规 10 2 3 2 4 2 2 2" xfId="9478"/>
    <cellStyle name="常规 10 2 3 2 4 2 3" xfId="9479"/>
    <cellStyle name="常规 10 2 3 2 4 2 4" xfId="9480"/>
    <cellStyle name="常规 10 2 3 2 4 2 5" xfId="9481"/>
    <cellStyle name="常规 10 2 3 2 4 3" xfId="9482"/>
    <cellStyle name="常规 10 2 3 2 4 3 2" xfId="9483"/>
    <cellStyle name="常规 10 2 3 2 4 3 3" xfId="9484"/>
    <cellStyle name="常规 10 2 3 2 4 4" xfId="9485"/>
    <cellStyle name="常规 10 2 3 2 4 4 2" xfId="9486"/>
    <cellStyle name="常规 10 2 3 2 4 5" xfId="9487"/>
    <cellStyle name="常规 10 2 3 2 4 5 2" xfId="9488"/>
    <cellStyle name="常规 10 2 3 2 4 6" xfId="9489"/>
    <cellStyle name="常规 10 2 3 2 4 7" xfId="9490"/>
    <cellStyle name="常规 10 2 3 2 5" xfId="9491"/>
    <cellStyle name="常规 10 2 3 2 5 2" xfId="9492"/>
    <cellStyle name="常规 10 2 3 2 5 2 2" xfId="9493"/>
    <cellStyle name="常规 10 2 3 2 5 3" xfId="9494"/>
    <cellStyle name="常规 10 2 3 2 5 4" xfId="9495"/>
    <cellStyle name="常规 10 2 3 2 5 5" xfId="9496"/>
    <cellStyle name="常规 10 2 3 2 6" xfId="9497"/>
    <cellStyle name="常规 10 2 3 2 6 2" xfId="9498"/>
    <cellStyle name="常规 10 2 3 2 6 3" xfId="9499"/>
    <cellStyle name="常规 10 2 3 2 7" xfId="9500"/>
    <cellStyle name="常规 10 2 3 2 7 2" xfId="9501"/>
    <cellStyle name="常规 10 2 3 2 8" xfId="9502"/>
    <cellStyle name="常规 10 2 3 2 8 2" xfId="9503"/>
    <cellStyle name="常规 10 2 3 2 9" xfId="9504"/>
    <cellStyle name="常规 10 2 3 3" xfId="9505"/>
    <cellStyle name="常规 10 2 3 3 2" xfId="9506"/>
    <cellStyle name="常规 10 2 3 3 2 2" xfId="9507"/>
    <cellStyle name="常规 10 2 3 3 2 2 2" xfId="9508"/>
    <cellStyle name="常规 10 2 3 3 2 2 2 2" xfId="9509"/>
    <cellStyle name="常规 10 2 3 3 2 2 2 2 2" xfId="9510"/>
    <cellStyle name="常规 10 2 3 3 2 2 2 3" xfId="9511"/>
    <cellStyle name="常规 10 2 3 3 2 2 2 4" xfId="9512"/>
    <cellStyle name="常规 10 2 3 3 2 2 2 5" xfId="9513"/>
    <cellStyle name="常规 10 2 3 3 2 2 3" xfId="9514"/>
    <cellStyle name="常规 10 2 3 3 2 2 3 2" xfId="9515"/>
    <cellStyle name="常规 10 2 3 3 2 2 3 3" xfId="9516"/>
    <cellStyle name="常规 10 2 3 3 2 2 4" xfId="9517"/>
    <cellStyle name="常规 10 2 3 3 2 2 4 2" xfId="9518"/>
    <cellStyle name="常规 10 2 3 3 2 2 5" xfId="9519"/>
    <cellStyle name="常规 10 2 3 3 2 2 5 2" xfId="9520"/>
    <cellStyle name="常规 10 2 3 3 2 2 6" xfId="9521"/>
    <cellStyle name="常规 10 2 3 3 2 2 7" xfId="9522"/>
    <cellStyle name="常规 10 2 3 3 2 3" xfId="9523"/>
    <cellStyle name="常规 10 2 3 3 2 3 2" xfId="9524"/>
    <cellStyle name="常规 10 2 3 3 2 3 2 2" xfId="9525"/>
    <cellStyle name="常规 10 2 3 3 2 3 3" xfId="9526"/>
    <cellStyle name="常规 10 2 3 3 2 3 4" xfId="9527"/>
    <cellStyle name="常规 10 2 3 3 2 3 5" xfId="9528"/>
    <cellStyle name="常规 10 2 3 3 2 4" xfId="9529"/>
    <cellStyle name="常规 10 2 3 3 2 4 2" xfId="9530"/>
    <cellStyle name="常规 10 2 3 3 2 4 3" xfId="9531"/>
    <cellStyle name="常规 10 2 3 3 2 5" xfId="9532"/>
    <cellStyle name="常规 10 2 3 3 2 5 2" xfId="9533"/>
    <cellStyle name="常规 10 2 3 3 2 6" xfId="9534"/>
    <cellStyle name="常规 10 2 3 3 2 6 2" xfId="9535"/>
    <cellStyle name="常规 10 2 3 3 2 7" xfId="9536"/>
    <cellStyle name="常规 10 2 3 3 2 8" xfId="9537"/>
    <cellStyle name="常规 10 2 3 3 3" xfId="9538"/>
    <cellStyle name="常规 10 2 3 3 3 2" xfId="9539"/>
    <cellStyle name="常规 10 2 3 3 3 2 2" xfId="9540"/>
    <cellStyle name="常规 10 2 3 3 3 2 2 2" xfId="9541"/>
    <cellStyle name="常规 10 2 3 3 3 2 3" xfId="9542"/>
    <cellStyle name="常规 10 2 3 3 3 2 4" xfId="9543"/>
    <cellStyle name="常规 10 2 3 3 3 2 5" xfId="9544"/>
    <cellStyle name="常规 10 2 3 3 3 3" xfId="9545"/>
    <cellStyle name="常规 10 2 3 3 3 3 2" xfId="9546"/>
    <cellStyle name="常规 10 2 3 3 3 3 3" xfId="9547"/>
    <cellStyle name="常规 10 2 3 3 3 4" xfId="9548"/>
    <cellStyle name="常规 10 2 3 3 3 4 2" xfId="9549"/>
    <cellStyle name="常规 10 2 3 3 3 5" xfId="9550"/>
    <cellStyle name="常规 10 2 3 3 3 5 2" xfId="9551"/>
    <cellStyle name="常规 10 2 3 3 3 6" xfId="9552"/>
    <cellStyle name="常规 10 2 3 3 3 7" xfId="9553"/>
    <cellStyle name="常规 10 2 3 3 4" xfId="9554"/>
    <cellStyle name="常规 10 2 3 3 4 2" xfId="9555"/>
    <cellStyle name="常规 10 2 3 3 4 2 2" xfId="9556"/>
    <cellStyle name="常规 10 2 3 3 4 3" xfId="9557"/>
    <cellStyle name="常规 10 2 3 3 4 4" xfId="9558"/>
    <cellStyle name="常规 10 2 3 3 4 5" xfId="9559"/>
    <cellStyle name="常规 10 2 3 3 5" xfId="9560"/>
    <cellStyle name="常规 10 2 3 3 5 2" xfId="9561"/>
    <cellStyle name="常规 10 2 3 3 5 3" xfId="9562"/>
    <cellStyle name="常规 10 2 3 3 6" xfId="9563"/>
    <cellStyle name="常规 10 2 3 3 6 2" xfId="9564"/>
    <cellStyle name="常规 10 2 3 3 7" xfId="9565"/>
    <cellStyle name="常规 10 2 3 3 7 2" xfId="9566"/>
    <cellStyle name="常规 10 2 3 3 8" xfId="9567"/>
    <cellStyle name="常规 10 2 3 3 9" xfId="9568"/>
    <cellStyle name="常规 10 2 3 4" xfId="9569"/>
    <cellStyle name="常规 10 2 3 4 2" xfId="9570"/>
    <cellStyle name="常规 10 2 3 4 2 2" xfId="9571"/>
    <cellStyle name="常规 10 2 3 4 2 2 2" xfId="9572"/>
    <cellStyle name="常规 10 2 3 4 2 2 2 2" xfId="9573"/>
    <cellStyle name="常规 10 2 3 4 2 2 2 2 2" xfId="9574"/>
    <cellStyle name="常规 10 2 3 4 2 2 2 3" xfId="9575"/>
    <cellStyle name="常规 10 2 3 4 2 2 2 4" xfId="9576"/>
    <cellStyle name="常规 10 2 3 4 2 2 3" xfId="9577"/>
    <cellStyle name="常规 10 2 3 4 2 2 3 2" xfId="9578"/>
    <cellStyle name="常规 10 2 3 4 2 2 4" xfId="9579"/>
    <cellStyle name="常规 10 2 3 4 2 2 5" xfId="9580"/>
    <cellStyle name="常规 10 2 3 4 2 2 6" xfId="9581"/>
    <cellStyle name="常规 10 2 3 4 2 3" xfId="9582"/>
    <cellStyle name="常规 10 2 3 4 2 3 2" xfId="9583"/>
    <cellStyle name="常规 10 2 3 4 2 3 2 2" xfId="9584"/>
    <cellStyle name="常规 10 2 3 4 2 3 3" xfId="9585"/>
    <cellStyle name="常规 10 2 3 4 2 3 4" xfId="9586"/>
    <cellStyle name="常规 10 2 3 4 2 3 5" xfId="9587"/>
    <cellStyle name="常规 10 2 3 4 2 4" xfId="9588"/>
    <cellStyle name="常规 10 2 3 4 2 4 2" xfId="9589"/>
    <cellStyle name="常规 10 2 3 4 2 4 3" xfId="9590"/>
    <cellStyle name="常规 10 2 3 4 2 5" xfId="9591"/>
    <cellStyle name="常规 10 2 3 4 2 5 2" xfId="9592"/>
    <cellStyle name="常规 10 2 3 4 2 6" xfId="9593"/>
    <cellStyle name="常规 10 2 3 4 2 6 2" xfId="9594"/>
    <cellStyle name="常规 10 2 3 4 2 7" xfId="9595"/>
    <cellStyle name="常规 10 2 3 4 3" xfId="9596"/>
    <cellStyle name="常规 10 2 3 4 3 2" xfId="9597"/>
    <cellStyle name="常规 10 2 3 4 3 2 2" xfId="9598"/>
    <cellStyle name="常规 10 2 3 4 3 2 2 2" xfId="9599"/>
    <cellStyle name="常规 10 2 3 4 3 2 3" xfId="9600"/>
    <cellStyle name="常规 10 2 3 4 3 2 4" xfId="9601"/>
    <cellStyle name="常规 10 2 3 4 3 3" xfId="9602"/>
    <cellStyle name="常规 10 2 3 4 3 3 2" xfId="9603"/>
    <cellStyle name="常规 10 2 3 4 3 4" xfId="9604"/>
    <cellStyle name="常规 10 2 3 4 3 5" xfId="9605"/>
    <cellStyle name="常规 10 2 3 4 3 6" xfId="9606"/>
    <cellStyle name="常规 10 2 3 4 4" xfId="9607"/>
    <cellStyle name="常规 10 2 3 4 4 2" xfId="9608"/>
    <cellStyle name="常规 10 2 3 4 4 2 2" xfId="9609"/>
    <cellStyle name="常规 10 2 3 4 4 3" xfId="9610"/>
    <cellStyle name="常规 10 2 3 4 4 4" xfId="9611"/>
    <cellStyle name="常规 10 2 3 4 4 5" xfId="9612"/>
    <cellStyle name="常规 10 2 3 4 5" xfId="9613"/>
    <cellStyle name="常规 10 2 3 4 5 2" xfId="9614"/>
    <cellStyle name="常规 10 2 3 4 5 3" xfId="9615"/>
    <cellStyle name="常规 10 2 3 4 6" xfId="9616"/>
    <cellStyle name="常规 10 2 3 4 6 2" xfId="9617"/>
    <cellStyle name="常规 10 2 3 4 7" xfId="9618"/>
    <cellStyle name="常规 10 2 3 4 7 2" xfId="9619"/>
    <cellStyle name="常规 10 2 3 4 8" xfId="9620"/>
    <cellStyle name="常规 10 2 3 5" xfId="9621"/>
    <cellStyle name="常规 10 2 3 5 2" xfId="9622"/>
    <cellStyle name="常规 10 2 3 5 2 2" xfId="9623"/>
    <cellStyle name="常规 10 2 3 5 2 2 2" xfId="9624"/>
    <cellStyle name="常规 10 2 3 5 2 2 2 2" xfId="9625"/>
    <cellStyle name="常规 10 2 3 5 2 2 2 2 2" xfId="9626"/>
    <cellStyle name="常规 10 2 3 5 2 2 2 3" xfId="9627"/>
    <cellStyle name="常规 10 2 3 5 2 2 2 4" xfId="9628"/>
    <cellStyle name="常规 10 2 3 5 2 2 3" xfId="9629"/>
    <cellStyle name="常规 10 2 3 5 2 2 3 2" xfId="9630"/>
    <cellStyle name="常规 10 2 3 5 2 2 4" xfId="9631"/>
    <cellStyle name="常规 10 2 3 5 2 2 5" xfId="9632"/>
    <cellStyle name="常规 10 2 3 5 2 2 6" xfId="9633"/>
    <cellStyle name="常规 10 2 3 5 2 3" xfId="9634"/>
    <cellStyle name="常规 10 2 3 5 2 3 2" xfId="9635"/>
    <cellStyle name="常规 10 2 3 5 2 3 2 2" xfId="9636"/>
    <cellStyle name="常规 10 2 3 5 2 3 3" xfId="9637"/>
    <cellStyle name="常规 10 2 3 5 2 3 4" xfId="9638"/>
    <cellStyle name="常规 10 2 3 5 2 3 5" xfId="9639"/>
    <cellStyle name="常规 10 2 3 5 2 4" xfId="9640"/>
    <cellStyle name="常规 10 2 3 5 2 4 2" xfId="9641"/>
    <cellStyle name="常规 10 2 3 5 2 4 3" xfId="9642"/>
    <cellStyle name="常规 10 2 3 5 2 5" xfId="9643"/>
    <cellStyle name="常规 10 2 3 5 2 5 2" xfId="9644"/>
    <cellStyle name="常规 10 2 3 5 2 6" xfId="9645"/>
    <cellStyle name="常规 10 2 3 5 2 6 2" xfId="9646"/>
    <cellStyle name="常规 10 2 3 5 2 7" xfId="9647"/>
    <cellStyle name="常规 10 2 3 5 3" xfId="9648"/>
    <cellStyle name="常规 10 2 3 5 3 2" xfId="9649"/>
    <cellStyle name="常规 10 2 3 5 3 2 2" xfId="9650"/>
    <cellStyle name="常规 10 2 3 5 3 2 2 2" xfId="9651"/>
    <cellStyle name="常规 10 2 3 5 3 2 3" xfId="9652"/>
    <cellStyle name="常规 10 2 3 5 3 2 4" xfId="9653"/>
    <cellStyle name="常规 10 2 3 5 3 3" xfId="9654"/>
    <cellStyle name="常规 10 2 3 5 3 3 2" xfId="9655"/>
    <cellStyle name="常规 10 2 3 5 3 4" xfId="9656"/>
    <cellStyle name="常规 10 2 3 5 3 5" xfId="9657"/>
    <cellStyle name="常规 10 2 3 5 3 6" xfId="9658"/>
    <cellStyle name="常规 10 2 3 5 4" xfId="9659"/>
    <cellStyle name="常规 10 2 3 5 4 2" xfId="9660"/>
    <cellStyle name="常规 10 2 3 5 4 2 2" xfId="9661"/>
    <cellStyle name="常规 10 2 3 5 4 3" xfId="9662"/>
    <cellStyle name="常规 10 2 3 5 4 4" xfId="9663"/>
    <cellStyle name="常规 10 2 3 5 4 5" xfId="9664"/>
    <cellStyle name="常规 10 2 3 5 5" xfId="9665"/>
    <cellStyle name="常规 10 2 3 5 5 2" xfId="9666"/>
    <cellStyle name="常规 10 2 3 5 5 3" xfId="9667"/>
    <cellStyle name="常规 10 2 3 5 6" xfId="9668"/>
    <cellStyle name="常规 10 2 3 5 6 2" xfId="9669"/>
    <cellStyle name="常规 10 2 3 5 7" xfId="9670"/>
    <cellStyle name="常规 10 2 3 5 7 2" xfId="9671"/>
    <cellStyle name="常规 10 2 3 5 8" xfId="9672"/>
    <cellStyle name="常规 10 2 3 6" xfId="9673"/>
    <cellStyle name="常规 10 2 3 6 2" xfId="9674"/>
    <cellStyle name="常规 10 2 3 6 2 2" xfId="9675"/>
    <cellStyle name="常规 10 2 3 6 2 2 2" xfId="9676"/>
    <cellStyle name="常规 10 2 3 6 2 2 2 2" xfId="9677"/>
    <cellStyle name="常规 10 2 3 6 2 2 3" xfId="9678"/>
    <cellStyle name="常规 10 2 3 6 2 2 4" xfId="9679"/>
    <cellStyle name="常规 10 2 3 6 2 3" xfId="9680"/>
    <cellStyle name="常规 10 2 3 6 2 3 2" xfId="9681"/>
    <cellStyle name="常规 10 2 3 6 2 4" xfId="9682"/>
    <cellStyle name="常规 10 2 3 6 2 5" xfId="9683"/>
    <cellStyle name="常规 10 2 3 6 2 6" xfId="9684"/>
    <cellStyle name="常规 10 2 3 6 3" xfId="9685"/>
    <cellStyle name="常规 10 2 3 6 3 2" xfId="9686"/>
    <cellStyle name="常规 10 2 3 6 3 2 2" xfId="9687"/>
    <cellStyle name="常规 10 2 3 6 3 3" xfId="9688"/>
    <cellStyle name="常规 10 2 3 6 3 4" xfId="9689"/>
    <cellStyle name="常规 10 2 3 6 3 5" xfId="9690"/>
    <cellStyle name="常规 10 2 3 6 4" xfId="9691"/>
    <cellStyle name="常规 10 2 3 6 4 2" xfId="9692"/>
    <cellStyle name="常规 10 2 3 6 4 3" xfId="9693"/>
    <cellStyle name="常规 10 2 3 6 5" xfId="9694"/>
    <cellStyle name="常规 10 2 3 6 5 2" xfId="9695"/>
    <cellStyle name="常规 10 2 3 6 6" xfId="9696"/>
    <cellStyle name="常规 10 2 3 6 6 2" xfId="9697"/>
    <cellStyle name="常规 10 2 3 6 7" xfId="9698"/>
    <cellStyle name="常规 10 2 3 7" xfId="9699"/>
    <cellStyle name="常规 10 2 3 7 2" xfId="9700"/>
    <cellStyle name="常规 10 2 3 7 2 2" xfId="9701"/>
    <cellStyle name="常规 10 2 3 7 2 2 2" xfId="9702"/>
    <cellStyle name="常规 10 2 3 7 2 3" xfId="9703"/>
    <cellStyle name="常规 10 2 3 7 2 4" xfId="9704"/>
    <cellStyle name="常规 10 2 3 7 3" xfId="9705"/>
    <cellStyle name="常规 10 2 3 7 3 2" xfId="9706"/>
    <cellStyle name="常规 10 2 3 7 4" xfId="9707"/>
    <cellStyle name="常规 10 2 3 7 5" xfId="9708"/>
    <cellStyle name="常规 10 2 3 7 6" xfId="9709"/>
    <cellStyle name="常规 10 2 3 8" xfId="9710"/>
    <cellStyle name="常规 10 2 3 8 2" xfId="9711"/>
    <cellStyle name="常规 10 2 3 8 2 2" xfId="9712"/>
    <cellStyle name="常规 10 2 3 8 3" xfId="9713"/>
    <cellStyle name="常规 10 2 3 8 4" xfId="9714"/>
    <cellStyle name="常规 10 2 3 8 5" xfId="9715"/>
    <cellStyle name="常规 10 2 3 9" xfId="9716"/>
    <cellStyle name="常规 10 2 3 9 2" xfId="9717"/>
    <cellStyle name="常规 10 2 3 9 2 2" xfId="9718"/>
    <cellStyle name="常规 10 2 3 9 3" xfId="9719"/>
    <cellStyle name="常规 10 2 3 9 4" xfId="9720"/>
    <cellStyle name="常规 10 2 3 9 5" xfId="9721"/>
    <cellStyle name="常规 10 2 4" xfId="9722"/>
    <cellStyle name="常规 10 2 4 10" xfId="9723"/>
    <cellStyle name="常规 10 2 4 2" xfId="9724"/>
    <cellStyle name="常规 10 2 4 2 2" xfId="9725"/>
    <cellStyle name="常规 10 2 4 2 2 2" xfId="9726"/>
    <cellStyle name="常规 10 2 4 2 2 2 2" xfId="9727"/>
    <cellStyle name="常规 10 2 4 2 2 2 2 2" xfId="9728"/>
    <cellStyle name="常规 10 2 4 2 2 2 2 2 2" xfId="9729"/>
    <cellStyle name="常规 10 2 4 2 2 2 2 3" xfId="9730"/>
    <cellStyle name="常规 10 2 4 2 2 2 2 4" xfId="9731"/>
    <cellStyle name="常规 10 2 4 2 2 2 2 5" xfId="9732"/>
    <cellStyle name="常规 10 2 4 2 2 2 3" xfId="9733"/>
    <cellStyle name="常规 10 2 4 2 2 2 3 2" xfId="9734"/>
    <cellStyle name="常规 10 2 4 2 2 2 3 3" xfId="9735"/>
    <cellStyle name="常规 10 2 4 2 2 2 4" xfId="9736"/>
    <cellStyle name="常规 10 2 4 2 2 2 4 2" xfId="9737"/>
    <cellStyle name="常规 10 2 4 2 2 2 5" xfId="9738"/>
    <cellStyle name="常规 10 2 4 2 2 2 5 2" xfId="9739"/>
    <cellStyle name="常规 10 2 4 2 2 2 6" xfId="9740"/>
    <cellStyle name="常规 10 2 4 2 2 2 7" xfId="9741"/>
    <cellStyle name="常规 10 2 4 2 2 3" xfId="9742"/>
    <cellStyle name="常规 10 2 4 2 2 3 2" xfId="9743"/>
    <cellStyle name="常规 10 2 4 2 2 3 2 2" xfId="9744"/>
    <cellStyle name="常规 10 2 4 2 2 3 3" xfId="9745"/>
    <cellStyle name="常规 10 2 4 2 2 3 4" xfId="9746"/>
    <cellStyle name="常规 10 2 4 2 2 3 5" xfId="9747"/>
    <cellStyle name="常规 10 2 4 2 2 4" xfId="9748"/>
    <cellStyle name="常规 10 2 4 2 2 4 2" xfId="9749"/>
    <cellStyle name="常规 10 2 4 2 2 4 3" xfId="9750"/>
    <cellStyle name="常规 10 2 4 2 2 5" xfId="9751"/>
    <cellStyle name="常规 10 2 4 2 2 5 2" xfId="9752"/>
    <cellStyle name="常规 10 2 4 2 2 6" xfId="9753"/>
    <cellStyle name="常规 10 2 4 2 2 6 2" xfId="9754"/>
    <cellStyle name="常规 10 2 4 2 2 7" xfId="9755"/>
    <cellStyle name="常规 10 2 4 2 2 8" xfId="9756"/>
    <cellStyle name="常规 10 2 4 2 3" xfId="9757"/>
    <cellStyle name="常规 10 2 4 2 3 2" xfId="9758"/>
    <cellStyle name="常规 10 2 4 2 3 2 2" xfId="9759"/>
    <cellStyle name="常规 10 2 4 2 3 2 2 2" xfId="9760"/>
    <cellStyle name="常规 10 2 4 2 3 2 3" xfId="9761"/>
    <cellStyle name="常规 10 2 4 2 3 2 4" xfId="9762"/>
    <cellStyle name="常规 10 2 4 2 3 2 5" xfId="9763"/>
    <cellStyle name="常规 10 2 4 2 3 3" xfId="9764"/>
    <cellStyle name="常规 10 2 4 2 3 3 2" xfId="9765"/>
    <cellStyle name="常规 10 2 4 2 3 3 3" xfId="9766"/>
    <cellStyle name="常规 10 2 4 2 3 4" xfId="9767"/>
    <cellStyle name="常规 10 2 4 2 3 4 2" xfId="9768"/>
    <cellStyle name="常规 10 2 4 2 3 5" xfId="9769"/>
    <cellStyle name="常规 10 2 4 2 3 5 2" xfId="9770"/>
    <cellStyle name="常规 10 2 4 2 3 6" xfId="9771"/>
    <cellStyle name="常规 10 2 4 2 3 7" xfId="9772"/>
    <cellStyle name="常规 10 2 4 2 4" xfId="9773"/>
    <cellStyle name="常规 10 2 4 2 4 2" xfId="9774"/>
    <cellStyle name="常规 10 2 4 2 4 2 2" xfId="9775"/>
    <cellStyle name="常规 10 2 4 2 4 3" xfId="9776"/>
    <cellStyle name="常规 10 2 4 2 4 4" xfId="9777"/>
    <cellStyle name="常规 10 2 4 2 4 5" xfId="9778"/>
    <cellStyle name="常规 10 2 4 2 5" xfId="9779"/>
    <cellStyle name="常规 10 2 4 2 5 2" xfId="9780"/>
    <cellStyle name="常规 10 2 4 2 5 3" xfId="9781"/>
    <cellStyle name="常规 10 2 4 2 6" xfId="9782"/>
    <cellStyle name="常规 10 2 4 2 6 2" xfId="9783"/>
    <cellStyle name="常规 10 2 4 2 7" xfId="9784"/>
    <cellStyle name="常规 10 2 4 2 7 2" xfId="9785"/>
    <cellStyle name="常规 10 2 4 2 8" xfId="9786"/>
    <cellStyle name="常规 10 2 4 2 9" xfId="9787"/>
    <cellStyle name="常规 10 2 4 3" xfId="9788"/>
    <cellStyle name="常规 10 2 4 3 2" xfId="9789"/>
    <cellStyle name="常规 10 2 4 3 2 2" xfId="9790"/>
    <cellStyle name="常规 10 2 4 3 2 2 2" xfId="9791"/>
    <cellStyle name="常规 10 2 4 3 2 2 2 2" xfId="9792"/>
    <cellStyle name="常规 10 2 4 3 2 2 3" xfId="9793"/>
    <cellStyle name="常规 10 2 4 3 2 2 4" xfId="9794"/>
    <cellStyle name="常规 10 2 4 3 2 2 5" xfId="9795"/>
    <cellStyle name="常规 10 2 4 3 2 3" xfId="9796"/>
    <cellStyle name="常规 10 2 4 3 2 3 2" xfId="9797"/>
    <cellStyle name="常规 10 2 4 3 2 3 3" xfId="9798"/>
    <cellStyle name="常规 10 2 4 3 2 4" xfId="9799"/>
    <cellStyle name="常规 10 2 4 3 2 4 2" xfId="9800"/>
    <cellStyle name="常规 10 2 4 3 2 5" xfId="9801"/>
    <cellStyle name="常规 10 2 4 3 2 5 2" xfId="9802"/>
    <cellStyle name="常规 10 2 4 3 2 6" xfId="9803"/>
    <cellStyle name="常规 10 2 4 3 2 7" xfId="9804"/>
    <cellStyle name="常规 10 2 4 3 3" xfId="9805"/>
    <cellStyle name="常规 10 2 4 3 3 2" xfId="9806"/>
    <cellStyle name="常规 10 2 4 3 3 2 2" xfId="9807"/>
    <cellStyle name="常规 10 2 4 3 3 3" xfId="9808"/>
    <cellStyle name="常规 10 2 4 3 3 4" xfId="9809"/>
    <cellStyle name="常规 10 2 4 3 3 5" xfId="9810"/>
    <cellStyle name="常规 10 2 4 3 4" xfId="9811"/>
    <cellStyle name="常规 10 2 4 3 4 2" xfId="9812"/>
    <cellStyle name="常规 10 2 4 3 4 3" xfId="9813"/>
    <cellStyle name="常规 10 2 4 3 5" xfId="9814"/>
    <cellStyle name="常规 10 2 4 3 5 2" xfId="9815"/>
    <cellStyle name="常规 10 2 4 3 6" xfId="9816"/>
    <cellStyle name="常规 10 2 4 3 6 2" xfId="9817"/>
    <cellStyle name="常规 10 2 4 3 7" xfId="9818"/>
    <cellStyle name="常规 10 2 4 3 8" xfId="9819"/>
    <cellStyle name="常规 10 2 4 4" xfId="9820"/>
    <cellStyle name="常规 10 2 4 4 2" xfId="9821"/>
    <cellStyle name="常规 10 2 4 4 2 2" xfId="9822"/>
    <cellStyle name="常规 10 2 4 4 2 2 2" xfId="9823"/>
    <cellStyle name="常规 10 2 4 4 2 2 3" xfId="9824"/>
    <cellStyle name="常规 10 2 4 4 2 3" xfId="9825"/>
    <cellStyle name="常规 10 2 4 4 2 3 2" xfId="9826"/>
    <cellStyle name="常规 10 2 4 4 2 4" xfId="9827"/>
    <cellStyle name="常规 10 2 4 4 2 4 2" xfId="9828"/>
    <cellStyle name="常规 10 2 4 4 2 5" xfId="9829"/>
    <cellStyle name="常规 10 2 4 4 2 6" xfId="9830"/>
    <cellStyle name="常规 10 2 4 4 2 7" xfId="9831"/>
    <cellStyle name="常规 10 2 4 4 3" xfId="9832"/>
    <cellStyle name="常规 10 2 4 4 3 2" xfId="9833"/>
    <cellStyle name="常规 10 2 4 4 3 3" xfId="9834"/>
    <cellStyle name="常规 10 2 4 4 4" xfId="9835"/>
    <cellStyle name="常规 10 2 4 4 4 2" xfId="9836"/>
    <cellStyle name="常规 10 2 4 4 5" xfId="9837"/>
    <cellStyle name="常规 10 2 4 4 5 2" xfId="9838"/>
    <cellStyle name="常规 10 2 4 4 6" xfId="9839"/>
    <cellStyle name="常规 10 2 4 4 7" xfId="9840"/>
    <cellStyle name="常规 10 2 4 4 8" xfId="9841"/>
    <cellStyle name="常规 10 2 4 5" xfId="9842"/>
    <cellStyle name="常规 10 2 4 5 2" xfId="9843"/>
    <cellStyle name="常规 10 2 4 5 2 2" xfId="9844"/>
    <cellStyle name="常规 10 2 4 5 3" xfId="9845"/>
    <cellStyle name="常规 10 2 4 5 4" xfId="9846"/>
    <cellStyle name="常规 10 2 4 6" xfId="9847"/>
    <cellStyle name="常规 10 2 4 6 2" xfId="9848"/>
    <cellStyle name="常规 10 2 4 6 2 2" xfId="9849"/>
    <cellStyle name="常规 10 2 4 6 3" xfId="9850"/>
    <cellStyle name="常规 10 2 4 6 4" xfId="9851"/>
    <cellStyle name="常规 10 2 4 7" xfId="9852"/>
    <cellStyle name="常规 10 2 4 7 2" xfId="9853"/>
    <cellStyle name="常规 10 2 4 8" xfId="9854"/>
    <cellStyle name="常规 10 2 4 9" xfId="9855"/>
    <cellStyle name="常规 10 2 5" xfId="9856"/>
    <cellStyle name="常规 10 2 5 10" xfId="9857"/>
    <cellStyle name="常规 10 2 5 2" xfId="9858"/>
    <cellStyle name="常规 10 2 5 2 2" xfId="9859"/>
    <cellStyle name="常规 10 2 5 2 2 2" xfId="9860"/>
    <cellStyle name="常规 10 2 5 2 2 2 2" xfId="9861"/>
    <cellStyle name="常规 10 2 5 2 2 2 2 2" xfId="9862"/>
    <cellStyle name="常规 10 2 5 2 2 2 2 3" xfId="9863"/>
    <cellStyle name="常规 10 2 5 2 2 2 3" xfId="9864"/>
    <cellStyle name="常规 10 2 5 2 2 2 3 2" xfId="9865"/>
    <cellStyle name="常规 10 2 5 2 2 2 4" xfId="9866"/>
    <cellStyle name="常规 10 2 5 2 2 2 4 2" xfId="9867"/>
    <cellStyle name="常规 10 2 5 2 2 2 5" xfId="9868"/>
    <cellStyle name="常规 10 2 5 2 2 2 6" xfId="9869"/>
    <cellStyle name="常规 10 2 5 2 2 2 7" xfId="9870"/>
    <cellStyle name="常规 10 2 5 2 2 3" xfId="9871"/>
    <cellStyle name="常规 10 2 5 2 2 3 2" xfId="9872"/>
    <cellStyle name="常规 10 2 5 2 2 3 3" xfId="9873"/>
    <cellStyle name="常规 10 2 5 2 2 4" xfId="9874"/>
    <cellStyle name="常规 10 2 5 2 2 4 2" xfId="9875"/>
    <cellStyle name="常规 10 2 5 2 2 5" xfId="9876"/>
    <cellStyle name="常规 10 2 5 2 2 5 2" xfId="9877"/>
    <cellStyle name="常规 10 2 5 2 2 6" xfId="9878"/>
    <cellStyle name="常规 10 2 5 2 2 7" xfId="9879"/>
    <cellStyle name="常规 10 2 5 2 2 8" xfId="9880"/>
    <cellStyle name="常规 10 2 5 2 3" xfId="9881"/>
    <cellStyle name="常规 10 2 5 2 3 2" xfId="9882"/>
    <cellStyle name="常规 10 2 5 2 3 2 2" xfId="9883"/>
    <cellStyle name="常规 10 2 5 2 3 2 3" xfId="9884"/>
    <cellStyle name="常规 10 2 5 2 3 3" xfId="9885"/>
    <cellStyle name="常规 10 2 5 2 3 3 2" xfId="9886"/>
    <cellStyle name="常规 10 2 5 2 3 4" xfId="9887"/>
    <cellStyle name="常规 10 2 5 2 3 4 2" xfId="9888"/>
    <cellStyle name="常规 10 2 5 2 3 5" xfId="9889"/>
    <cellStyle name="常规 10 2 5 2 3 6" xfId="9890"/>
    <cellStyle name="常规 10 2 5 2 3 7" xfId="9891"/>
    <cellStyle name="常规 10 2 5 2 4" xfId="9892"/>
    <cellStyle name="常规 10 2 5 2 4 2" xfId="9893"/>
    <cellStyle name="常规 10 2 5 2 4 3" xfId="9894"/>
    <cellStyle name="常规 10 2 5 2 5" xfId="9895"/>
    <cellStyle name="常规 10 2 5 2 5 2" xfId="9896"/>
    <cellStyle name="常规 10 2 5 2 6" xfId="9897"/>
    <cellStyle name="常规 10 2 5 2 6 2" xfId="9898"/>
    <cellStyle name="常规 10 2 5 2 7" xfId="9899"/>
    <cellStyle name="常规 10 2 5 2 8" xfId="9900"/>
    <cellStyle name="常规 10 2 5 2 9" xfId="9901"/>
    <cellStyle name="常规 10 2 5 3" xfId="9902"/>
    <cellStyle name="常规 10 2 5 3 2" xfId="9903"/>
    <cellStyle name="常规 10 2 5 3 2 2" xfId="9904"/>
    <cellStyle name="常规 10 2 5 3 2 2 2" xfId="9905"/>
    <cellStyle name="常规 10 2 5 3 2 2 3" xfId="9906"/>
    <cellStyle name="常规 10 2 5 3 2 3" xfId="9907"/>
    <cellStyle name="常规 10 2 5 3 2 3 2" xfId="9908"/>
    <cellStyle name="常规 10 2 5 3 2 4" xfId="9909"/>
    <cellStyle name="常规 10 2 5 3 2 4 2" xfId="9910"/>
    <cellStyle name="常规 10 2 5 3 2 5" xfId="9911"/>
    <cellStyle name="常规 10 2 5 3 2 6" xfId="9912"/>
    <cellStyle name="常规 10 2 5 3 2 7" xfId="9913"/>
    <cellStyle name="常规 10 2 5 3 3" xfId="9914"/>
    <cellStyle name="常规 10 2 5 3 3 2" xfId="9915"/>
    <cellStyle name="常规 10 2 5 3 3 3" xfId="9916"/>
    <cellStyle name="常规 10 2 5 3 4" xfId="9917"/>
    <cellStyle name="常规 10 2 5 3 4 2" xfId="9918"/>
    <cellStyle name="常规 10 2 5 3 5" xfId="9919"/>
    <cellStyle name="常规 10 2 5 3 5 2" xfId="9920"/>
    <cellStyle name="常规 10 2 5 3 6" xfId="9921"/>
    <cellStyle name="常规 10 2 5 3 7" xfId="9922"/>
    <cellStyle name="常规 10 2 5 3 8" xfId="9923"/>
    <cellStyle name="常规 10 2 5 4" xfId="9924"/>
    <cellStyle name="常规 10 2 5 4 2" xfId="9925"/>
    <cellStyle name="常规 10 2 5 4 2 2" xfId="9926"/>
    <cellStyle name="常规 10 2 5 4 2 3" xfId="9927"/>
    <cellStyle name="常规 10 2 5 4 3" xfId="9928"/>
    <cellStyle name="常规 10 2 5 4 3 2" xfId="9929"/>
    <cellStyle name="常规 10 2 5 4 4" xfId="9930"/>
    <cellStyle name="常规 10 2 5 4 4 2" xfId="9931"/>
    <cellStyle name="常规 10 2 5 4 5" xfId="9932"/>
    <cellStyle name="常规 10 2 5 4 6" xfId="9933"/>
    <cellStyle name="常规 10 2 5 4 7" xfId="9934"/>
    <cellStyle name="常规 10 2 5 5" xfId="9935"/>
    <cellStyle name="常规 10 2 5 5 2" xfId="9936"/>
    <cellStyle name="常规 10 2 5 5 3" xfId="9937"/>
    <cellStyle name="常规 10 2 5 6" xfId="9938"/>
    <cellStyle name="常规 10 2 5 6 2" xfId="9939"/>
    <cellStyle name="常规 10 2 5 7" xfId="9940"/>
    <cellStyle name="常规 10 2 5 7 2" xfId="9941"/>
    <cellStyle name="常规 10 2 5 8" xfId="9942"/>
    <cellStyle name="常规 10 2 5 9" xfId="9943"/>
    <cellStyle name="常规 10 2 6" xfId="9944"/>
    <cellStyle name="常规 10 2 6 10" xfId="9945"/>
    <cellStyle name="常规 10 2 6 2" xfId="9946"/>
    <cellStyle name="常规 10 2 6 2 2" xfId="9947"/>
    <cellStyle name="常规 10 2 6 2 2 2" xfId="9948"/>
    <cellStyle name="常规 10 2 6 2 2 2 2" xfId="9949"/>
    <cellStyle name="常规 10 2 6 2 2 2 2 2" xfId="9950"/>
    <cellStyle name="常规 10 2 6 2 2 2 2 3" xfId="9951"/>
    <cellStyle name="常规 10 2 6 2 2 2 3" xfId="9952"/>
    <cellStyle name="常规 10 2 6 2 2 2 3 2" xfId="9953"/>
    <cellStyle name="常规 10 2 6 2 2 2 4" xfId="9954"/>
    <cellStyle name="常规 10 2 6 2 2 2 4 2" xfId="9955"/>
    <cellStyle name="常规 10 2 6 2 2 2 5" xfId="9956"/>
    <cellStyle name="常规 10 2 6 2 2 2 6" xfId="9957"/>
    <cellStyle name="常规 10 2 6 2 2 2 7" xfId="9958"/>
    <cellStyle name="常规 10 2 6 2 2 3" xfId="9959"/>
    <cellStyle name="常规 10 2 6 2 2 3 2" xfId="9960"/>
    <cellStyle name="常规 10 2 6 2 2 3 3" xfId="9961"/>
    <cellStyle name="常规 10 2 6 2 2 4" xfId="9962"/>
    <cellStyle name="常规 10 2 6 2 2 4 2" xfId="9963"/>
    <cellStyle name="常规 10 2 6 2 2 5" xfId="9964"/>
    <cellStyle name="常规 10 2 6 2 2 5 2" xfId="9965"/>
    <cellStyle name="常规 10 2 6 2 2 6" xfId="9966"/>
    <cellStyle name="常规 10 2 6 2 2 7" xfId="9967"/>
    <cellStyle name="常规 10 2 6 2 2 8" xfId="9968"/>
    <cellStyle name="常规 10 2 6 2 3" xfId="9969"/>
    <cellStyle name="常规 10 2 6 2 3 2" xfId="9970"/>
    <cellStyle name="常规 10 2 6 2 3 2 2" xfId="9971"/>
    <cellStyle name="常规 10 2 6 2 3 2 3" xfId="9972"/>
    <cellStyle name="常规 10 2 6 2 3 3" xfId="9973"/>
    <cellStyle name="常规 10 2 6 2 3 3 2" xfId="9974"/>
    <cellStyle name="常规 10 2 6 2 3 4" xfId="9975"/>
    <cellStyle name="常规 10 2 6 2 3 4 2" xfId="9976"/>
    <cellStyle name="常规 10 2 6 2 3 5" xfId="9977"/>
    <cellStyle name="常规 10 2 6 2 3 6" xfId="9978"/>
    <cellStyle name="常规 10 2 6 2 3 7" xfId="9979"/>
    <cellStyle name="常规 10 2 6 2 4" xfId="9980"/>
    <cellStyle name="常规 10 2 6 2 4 2" xfId="9981"/>
    <cellStyle name="常规 10 2 6 2 4 3" xfId="9982"/>
    <cellStyle name="常规 10 2 6 2 5" xfId="9983"/>
    <cellStyle name="常规 10 2 6 2 5 2" xfId="9984"/>
    <cellStyle name="常规 10 2 6 2 6" xfId="9985"/>
    <cellStyle name="常规 10 2 6 2 6 2" xfId="9986"/>
    <cellStyle name="常规 10 2 6 2 7" xfId="9987"/>
    <cellStyle name="常规 10 2 6 2 8" xfId="9988"/>
    <cellStyle name="常规 10 2 6 2 9" xfId="9989"/>
    <cellStyle name="常规 10 2 6 3" xfId="9990"/>
    <cellStyle name="常规 10 2 6 3 2" xfId="9991"/>
    <cellStyle name="常规 10 2 6 3 2 2" xfId="9992"/>
    <cellStyle name="常规 10 2 6 3 2 2 2" xfId="9993"/>
    <cellStyle name="常规 10 2 6 3 2 2 3" xfId="9994"/>
    <cellStyle name="常规 10 2 6 3 2 3" xfId="9995"/>
    <cellStyle name="常规 10 2 6 3 2 3 2" xfId="9996"/>
    <cellStyle name="常规 10 2 6 3 2 4" xfId="9997"/>
    <cellStyle name="常规 10 2 6 3 2 4 2" xfId="9998"/>
    <cellStyle name="常规 10 2 6 3 2 5" xfId="9999"/>
    <cellStyle name="常规 10 2 6 3 2 6" xfId="10000"/>
    <cellStyle name="常规 10 2 6 3 2 7" xfId="10001"/>
    <cellStyle name="常规 10 2 6 3 3" xfId="10002"/>
    <cellStyle name="常规 10 2 6 3 3 2" xfId="10003"/>
    <cellStyle name="常规 10 2 6 3 3 3" xfId="10004"/>
    <cellStyle name="常规 10 2 6 3 4" xfId="10005"/>
    <cellStyle name="常规 10 2 6 3 4 2" xfId="10006"/>
    <cellStyle name="常规 10 2 6 3 5" xfId="10007"/>
    <cellStyle name="常规 10 2 6 3 5 2" xfId="10008"/>
    <cellStyle name="常规 10 2 6 3 6" xfId="10009"/>
    <cellStyle name="常规 10 2 6 3 7" xfId="10010"/>
    <cellStyle name="常规 10 2 6 3 8" xfId="10011"/>
    <cellStyle name="常规 10 2 6 4" xfId="10012"/>
    <cellStyle name="常规 10 2 6 4 2" xfId="10013"/>
    <cellStyle name="常规 10 2 6 4 2 2" xfId="10014"/>
    <cellStyle name="常规 10 2 6 4 2 3" xfId="10015"/>
    <cellStyle name="常规 10 2 6 4 3" xfId="10016"/>
    <cellStyle name="常规 10 2 6 4 3 2" xfId="10017"/>
    <cellStyle name="常规 10 2 6 4 4" xfId="10018"/>
    <cellStyle name="常规 10 2 6 4 4 2" xfId="10019"/>
    <cellStyle name="常规 10 2 6 4 5" xfId="10020"/>
    <cellStyle name="常规 10 2 6 4 6" xfId="10021"/>
    <cellStyle name="常规 10 2 6 4 7" xfId="10022"/>
    <cellStyle name="常规 10 2 6 5" xfId="10023"/>
    <cellStyle name="常规 10 2 6 5 2" xfId="10024"/>
    <cellStyle name="常规 10 2 6 5 3" xfId="10025"/>
    <cellStyle name="常规 10 2 6 6" xfId="10026"/>
    <cellStyle name="常规 10 2 6 6 2" xfId="10027"/>
    <cellStyle name="常规 10 2 6 7" xfId="10028"/>
    <cellStyle name="常规 10 2 6 7 2" xfId="10029"/>
    <cellStyle name="常规 10 2 6 8" xfId="10030"/>
    <cellStyle name="常规 10 2 6 9" xfId="10031"/>
    <cellStyle name="常规 10 2 7" xfId="10032"/>
    <cellStyle name="常规 10 2 7 2" xfId="10033"/>
    <cellStyle name="常规 10 2 7 2 2" xfId="10034"/>
    <cellStyle name="常规 10 2 7 2 2 2" xfId="10035"/>
    <cellStyle name="常规 10 2 7 2 2 2 2" xfId="10036"/>
    <cellStyle name="常规 10 2 7 2 2 2 2 2" xfId="10037"/>
    <cellStyle name="常规 10 2 7 2 2 2 3" xfId="10038"/>
    <cellStyle name="常规 10 2 7 2 2 2 4" xfId="10039"/>
    <cellStyle name="常规 10 2 7 2 2 2 5" xfId="10040"/>
    <cellStyle name="常规 10 2 7 2 2 3" xfId="10041"/>
    <cellStyle name="常规 10 2 7 2 2 3 2" xfId="10042"/>
    <cellStyle name="常规 10 2 7 2 2 3 3" xfId="10043"/>
    <cellStyle name="常规 10 2 7 2 2 4" xfId="10044"/>
    <cellStyle name="常规 10 2 7 2 2 4 2" xfId="10045"/>
    <cellStyle name="常规 10 2 7 2 2 5" xfId="10046"/>
    <cellStyle name="常规 10 2 7 2 2 5 2" xfId="10047"/>
    <cellStyle name="常规 10 2 7 2 2 6" xfId="10048"/>
    <cellStyle name="常规 10 2 7 2 2 7" xfId="10049"/>
    <cellStyle name="常规 10 2 7 2 3" xfId="10050"/>
    <cellStyle name="常规 10 2 7 2 3 2" xfId="10051"/>
    <cellStyle name="常规 10 2 7 2 3 2 2" xfId="10052"/>
    <cellStyle name="常规 10 2 7 2 3 3" xfId="10053"/>
    <cellStyle name="常规 10 2 7 2 3 4" xfId="10054"/>
    <cellStyle name="常规 10 2 7 2 3 5" xfId="10055"/>
    <cellStyle name="常规 10 2 7 2 4" xfId="10056"/>
    <cellStyle name="常规 10 2 7 2 4 2" xfId="10057"/>
    <cellStyle name="常规 10 2 7 2 4 3" xfId="10058"/>
    <cellStyle name="常规 10 2 7 2 5" xfId="10059"/>
    <cellStyle name="常规 10 2 7 2 5 2" xfId="10060"/>
    <cellStyle name="常规 10 2 7 2 6" xfId="10061"/>
    <cellStyle name="常规 10 2 7 2 6 2" xfId="10062"/>
    <cellStyle name="常规 10 2 7 2 7" xfId="10063"/>
    <cellStyle name="常规 10 2 7 2 8" xfId="10064"/>
    <cellStyle name="常规 10 2 7 3" xfId="10065"/>
    <cellStyle name="常规 10 2 7 3 2" xfId="10066"/>
    <cellStyle name="常规 10 2 7 3 2 2" xfId="10067"/>
    <cellStyle name="常规 10 2 7 3 2 2 2" xfId="10068"/>
    <cellStyle name="常规 10 2 7 3 2 3" xfId="10069"/>
    <cellStyle name="常规 10 2 7 3 2 4" xfId="10070"/>
    <cellStyle name="常规 10 2 7 3 2 5" xfId="10071"/>
    <cellStyle name="常规 10 2 7 3 3" xfId="10072"/>
    <cellStyle name="常规 10 2 7 3 3 2" xfId="10073"/>
    <cellStyle name="常规 10 2 7 3 3 3" xfId="10074"/>
    <cellStyle name="常规 10 2 7 3 4" xfId="10075"/>
    <cellStyle name="常规 10 2 7 3 4 2" xfId="10076"/>
    <cellStyle name="常规 10 2 7 3 5" xfId="10077"/>
    <cellStyle name="常规 10 2 7 3 5 2" xfId="10078"/>
    <cellStyle name="常规 10 2 7 3 6" xfId="10079"/>
    <cellStyle name="常规 10 2 7 3 7" xfId="10080"/>
    <cellStyle name="常规 10 2 7 4" xfId="10081"/>
    <cellStyle name="常规 10 2 7 4 2" xfId="10082"/>
    <cellStyle name="常规 10 2 7 4 2 2" xfId="10083"/>
    <cellStyle name="常规 10 2 7 4 3" xfId="10084"/>
    <cellStyle name="常规 10 2 7 4 4" xfId="10085"/>
    <cellStyle name="常规 10 2 7 4 5" xfId="10086"/>
    <cellStyle name="常规 10 2 7 5" xfId="10087"/>
    <cellStyle name="常规 10 2 7 5 2" xfId="10088"/>
    <cellStyle name="常规 10 2 7 5 3" xfId="10089"/>
    <cellStyle name="常规 10 2 7 6" xfId="10090"/>
    <cellStyle name="常规 10 2 7 6 2" xfId="10091"/>
    <cellStyle name="常规 10 2 7 7" xfId="10092"/>
    <cellStyle name="常规 10 2 7 7 2" xfId="10093"/>
    <cellStyle name="常规 10 2 7 8" xfId="10094"/>
    <cellStyle name="常规 10 2 7 9" xfId="10095"/>
    <cellStyle name="常规 10 2 8" xfId="10096"/>
    <cellStyle name="常规 10 2 8 2" xfId="10097"/>
    <cellStyle name="常规 10 2 8 2 2" xfId="10098"/>
    <cellStyle name="常规 10 2 8 2 2 2" xfId="10099"/>
    <cellStyle name="常规 10 2 8 2 2 2 2" xfId="10100"/>
    <cellStyle name="常规 10 2 8 2 2 2 3" xfId="10101"/>
    <cellStyle name="常规 10 2 8 2 2 3" xfId="10102"/>
    <cellStyle name="常规 10 2 8 2 2 3 2" xfId="10103"/>
    <cellStyle name="常规 10 2 8 2 2 4" xfId="10104"/>
    <cellStyle name="常规 10 2 8 2 2 4 2" xfId="10105"/>
    <cellStyle name="常规 10 2 8 2 2 5" xfId="10106"/>
    <cellStyle name="常规 10 2 8 2 2 6" xfId="10107"/>
    <cellStyle name="常规 10 2 8 2 2 7" xfId="10108"/>
    <cellStyle name="常规 10 2 8 2 3" xfId="10109"/>
    <cellStyle name="常规 10 2 8 2 3 2" xfId="10110"/>
    <cellStyle name="常规 10 2 8 2 3 3" xfId="10111"/>
    <cellStyle name="常规 10 2 8 2 4" xfId="10112"/>
    <cellStyle name="常规 10 2 8 2 4 2" xfId="10113"/>
    <cellStyle name="常规 10 2 8 2 5" xfId="10114"/>
    <cellStyle name="常规 10 2 8 2 5 2" xfId="10115"/>
    <cellStyle name="常规 10 2 8 2 6" xfId="10116"/>
    <cellStyle name="常规 10 2 8 2 7" xfId="10117"/>
    <cellStyle name="常规 10 2 8 2 8" xfId="10118"/>
    <cellStyle name="常规 10 2 8 3" xfId="10119"/>
    <cellStyle name="常规 10 2 8 3 2" xfId="10120"/>
    <cellStyle name="常规 10 2 8 3 2 2" xfId="10121"/>
    <cellStyle name="常规 10 2 8 3 2 3" xfId="10122"/>
    <cellStyle name="常规 10 2 8 3 3" xfId="10123"/>
    <cellStyle name="常规 10 2 8 3 3 2" xfId="10124"/>
    <cellStyle name="常规 10 2 8 3 4" xfId="10125"/>
    <cellStyle name="常规 10 2 8 3 4 2" xfId="10126"/>
    <cellStyle name="常规 10 2 8 3 5" xfId="10127"/>
    <cellStyle name="常规 10 2 8 3 6" xfId="10128"/>
    <cellStyle name="常规 10 2 8 3 7" xfId="10129"/>
    <cellStyle name="常规 10 2 8 4" xfId="10130"/>
    <cellStyle name="常规 10 2 8 4 2" xfId="10131"/>
    <cellStyle name="常规 10 2 8 4 3" xfId="10132"/>
    <cellStyle name="常规 10 2 8 5" xfId="10133"/>
    <cellStyle name="常规 10 2 8 5 2" xfId="10134"/>
    <cellStyle name="常规 10 2 8 6" xfId="10135"/>
    <cellStyle name="常规 10 2 8 6 2" xfId="10136"/>
    <cellStyle name="常规 10 2 8 7" xfId="10137"/>
    <cellStyle name="常规 10 2 8 8" xfId="10138"/>
    <cellStyle name="常规 10 2 8 9" xfId="10139"/>
    <cellStyle name="常规 10 2 9" xfId="10140"/>
    <cellStyle name="常规 10 2 9 2" xfId="10141"/>
    <cellStyle name="常规 10 2 9 2 2" xfId="10142"/>
    <cellStyle name="常规 10 2 9 2 2 2" xfId="10143"/>
    <cellStyle name="常规 10 2 9 2 2 3" xfId="10144"/>
    <cellStyle name="常规 10 2 9 2 2 4" xfId="10145"/>
    <cellStyle name="常规 10 2 9 2 2 5" xfId="10146"/>
    <cellStyle name="常规 10 2 9 2 2 6" xfId="10147"/>
    <cellStyle name="常规 10 2 9 2 2 7" xfId="10148"/>
    <cellStyle name="常规 10 2 9 2 2 8" xfId="10149"/>
    <cellStyle name="常规 10 2 9 2 3" xfId="10150"/>
    <cellStyle name="常规 10 2 9 2 3 2" xfId="10151"/>
    <cellStyle name="常规 10 2 9 2 4" xfId="10152"/>
    <cellStyle name="常规 10 2 9 2 4 2" xfId="10153"/>
    <cellStyle name="常规 10 2 9 2 5" xfId="10154"/>
    <cellStyle name="常规 10 2 9 2 6" xfId="10155"/>
    <cellStyle name="常规 10 2 9 2 7" xfId="10156"/>
    <cellStyle name="常规 10 2 9 2 8" xfId="10157"/>
    <cellStyle name="常规 10 2 9 3" xfId="10158"/>
    <cellStyle name="常规 10 2 9 3 2" xfId="10159"/>
    <cellStyle name="常规 10 2 9 3 3" xfId="10160"/>
    <cellStyle name="常规 10 2 9 3 4" xfId="10161"/>
    <cellStyle name="常规 10 2 9 3 5" xfId="10162"/>
    <cellStyle name="常规 10 2 9 3 6" xfId="10163"/>
    <cellStyle name="常规 10 2 9 3 7" xfId="10164"/>
    <cellStyle name="常规 10 2 9 3 8" xfId="10165"/>
    <cellStyle name="常规 10 2 9 4" xfId="10166"/>
    <cellStyle name="常规 10 2 9 4 2" xfId="10167"/>
    <cellStyle name="常规 10 2 9 5" xfId="10168"/>
    <cellStyle name="常规 10 2 9 5 2" xfId="10169"/>
    <cellStyle name="常规 10 2 9 6" xfId="10170"/>
    <cellStyle name="常规 10 2 9 7" xfId="10171"/>
    <cellStyle name="常规 10 2 9 8" xfId="10172"/>
    <cellStyle name="常规 10 2 9 9" xfId="10173"/>
    <cellStyle name="常规 10 3" xfId="10174"/>
    <cellStyle name="常规 10 3 10" xfId="10175"/>
    <cellStyle name="常规 10 3 10 2" xfId="10176"/>
    <cellStyle name="常规 10 3 10 2 2" xfId="10177"/>
    <cellStyle name="常规 10 3 10 3" xfId="10178"/>
    <cellStyle name="常规 10 3 10 4" xfId="10179"/>
    <cellStyle name="常规 10 3 11" xfId="10180"/>
    <cellStyle name="常规 10 3 11 2" xfId="10181"/>
    <cellStyle name="常规 10 3 11 2 2" xfId="10182"/>
    <cellStyle name="常规 10 3 11 3" xfId="10183"/>
    <cellStyle name="常规 10 3 11 4" xfId="10184"/>
    <cellStyle name="常规 10 3 12" xfId="10185"/>
    <cellStyle name="常规 10 3 12 2" xfId="10186"/>
    <cellStyle name="常规 10 3 13" xfId="10187"/>
    <cellStyle name="常规 10 3 14" xfId="10188"/>
    <cellStyle name="常规 10 3 15" xfId="10189"/>
    <cellStyle name="常规 10 3 2" xfId="10190"/>
    <cellStyle name="常规 10 3 2 10" xfId="10191"/>
    <cellStyle name="常规 10 3 2 10 2" xfId="10192"/>
    <cellStyle name="常规 10 3 2 10 2 2" xfId="10193"/>
    <cellStyle name="常规 10 3 2 10 3" xfId="10194"/>
    <cellStyle name="常规 10 3 2 10 4" xfId="10195"/>
    <cellStyle name="常规 10 3 2 10 5" xfId="10196"/>
    <cellStyle name="常规 10 3 2 11" xfId="10197"/>
    <cellStyle name="常规 10 3 2 11 2" xfId="10198"/>
    <cellStyle name="常规 10 3 2 11 3" xfId="10199"/>
    <cellStyle name="常规 10 3 2 12" xfId="10200"/>
    <cellStyle name="常规 10 3 2 13" xfId="10201"/>
    <cellStyle name="常规 10 3 2 14" xfId="10202"/>
    <cellStyle name="常规 10 3 2 2" xfId="10203"/>
    <cellStyle name="常规 10 3 2 2 10" xfId="10204"/>
    <cellStyle name="常规 10 3 2 2 2" xfId="10205"/>
    <cellStyle name="常规 10 3 2 2 2 2" xfId="10206"/>
    <cellStyle name="常规 10 3 2 2 2 2 2" xfId="10207"/>
    <cellStyle name="常规 10 3 2 2 2 2 2 2" xfId="10208"/>
    <cellStyle name="常规 10 3 2 2 2 2 2 2 2" xfId="10209"/>
    <cellStyle name="常规 10 3 2 2 2 2 2 2 2 2" xfId="10210"/>
    <cellStyle name="常规 10 3 2 2 2 2 2 2 3" xfId="10211"/>
    <cellStyle name="常规 10 3 2 2 2 2 2 2 4" xfId="10212"/>
    <cellStyle name="常规 10 3 2 2 2 2 2 2 5" xfId="10213"/>
    <cellStyle name="常规 10 3 2 2 2 2 2 3" xfId="10214"/>
    <cellStyle name="常规 10 3 2 2 2 2 2 3 2" xfId="10215"/>
    <cellStyle name="常规 10 3 2 2 2 2 2 3 3" xfId="10216"/>
    <cellStyle name="常规 10 3 2 2 2 2 2 4" xfId="10217"/>
    <cellStyle name="常规 10 3 2 2 2 2 2 4 2" xfId="10218"/>
    <cellStyle name="常规 10 3 2 2 2 2 2 5" xfId="10219"/>
    <cellStyle name="常规 10 3 2 2 2 2 2 5 2" xfId="10220"/>
    <cellStyle name="常规 10 3 2 2 2 2 2 6" xfId="10221"/>
    <cellStyle name="常规 10 3 2 2 2 2 2 7" xfId="10222"/>
    <cellStyle name="常规 10 3 2 2 2 2 3" xfId="10223"/>
    <cellStyle name="常规 10 3 2 2 2 2 3 2" xfId="10224"/>
    <cellStyle name="常规 10 3 2 2 2 2 3 2 2" xfId="10225"/>
    <cellStyle name="常规 10 3 2 2 2 2 3 3" xfId="10226"/>
    <cellStyle name="常规 10 3 2 2 2 2 3 4" xfId="10227"/>
    <cellStyle name="常规 10 3 2 2 2 2 3 5" xfId="10228"/>
    <cellStyle name="常规 10 3 2 2 2 2 4" xfId="10229"/>
    <cellStyle name="常规 10 3 2 2 2 2 4 2" xfId="10230"/>
    <cellStyle name="常规 10 3 2 2 2 2 4 3" xfId="10231"/>
    <cellStyle name="常规 10 3 2 2 2 2 5" xfId="10232"/>
    <cellStyle name="常规 10 3 2 2 2 2 5 2" xfId="10233"/>
    <cellStyle name="常规 10 3 2 2 2 2 6" xfId="10234"/>
    <cellStyle name="常规 10 3 2 2 2 2 6 2" xfId="10235"/>
    <cellStyle name="常规 10 3 2 2 2 2 7" xfId="10236"/>
    <cellStyle name="常规 10 3 2 2 2 2 8" xfId="10237"/>
    <cellStyle name="常规 10 3 2 2 2 3" xfId="10238"/>
    <cellStyle name="常规 10 3 2 2 2 3 2" xfId="10239"/>
    <cellStyle name="常规 10 3 2 2 2 3 2 2" xfId="10240"/>
    <cellStyle name="常规 10 3 2 2 2 3 2 2 2" xfId="10241"/>
    <cellStyle name="常规 10 3 2 2 2 3 2 3" xfId="10242"/>
    <cellStyle name="常规 10 3 2 2 2 3 2 4" xfId="10243"/>
    <cellStyle name="常规 10 3 2 2 2 3 2 5" xfId="10244"/>
    <cellStyle name="常规 10 3 2 2 2 3 3" xfId="10245"/>
    <cellStyle name="常规 10 3 2 2 2 3 3 2" xfId="10246"/>
    <cellStyle name="常规 10 3 2 2 2 3 3 3" xfId="10247"/>
    <cellStyle name="常规 10 3 2 2 2 3 4" xfId="10248"/>
    <cellStyle name="常规 10 3 2 2 2 3 4 2" xfId="10249"/>
    <cellStyle name="常规 10 3 2 2 2 3 5" xfId="10250"/>
    <cellStyle name="常规 10 3 2 2 2 3 5 2" xfId="10251"/>
    <cellStyle name="常规 10 3 2 2 2 3 6" xfId="10252"/>
    <cellStyle name="常规 10 3 2 2 2 3 7" xfId="10253"/>
    <cellStyle name="常规 10 3 2 2 2 4" xfId="10254"/>
    <cellStyle name="常规 10 3 2 2 2 4 2" xfId="10255"/>
    <cellStyle name="常规 10 3 2 2 2 4 2 2" xfId="10256"/>
    <cellStyle name="常规 10 3 2 2 2 4 3" xfId="10257"/>
    <cellStyle name="常规 10 3 2 2 2 4 4" xfId="10258"/>
    <cellStyle name="常规 10 3 2 2 2 4 5" xfId="10259"/>
    <cellStyle name="常规 10 3 2 2 2 5" xfId="10260"/>
    <cellStyle name="常规 10 3 2 2 2 5 2" xfId="10261"/>
    <cellStyle name="常规 10 3 2 2 2 5 3" xfId="10262"/>
    <cellStyle name="常规 10 3 2 2 2 6" xfId="10263"/>
    <cellStyle name="常规 10 3 2 2 2 6 2" xfId="10264"/>
    <cellStyle name="常规 10 3 2 2 2 7" xfId="10265"/>
    <cellStyle name="常规 10 3 2 2 2 7 2" xfId="10266"/>
    <cellStyle name="常规 10 3 2 2 2 8" xfId="10267"/>
    <cellStyle name="常规 10 3 2 2 2 9" xfId="10268"/>
    <cellStyle name="常规 10 3 2 2 3" xfId="10269"/>
    <cellStyle name="常规 10 3 2 2 3 2" xfId="10270"/>
    <cellStyle name="常规 10 3 2 2 3 2 2" xfId="10271"/>
    <cellStyle name="常规 10 3 2 2 3 2 2 2" xfId="10272"/>
    <cellStyle name="常规 10 3 2 2 3 2 2 2 2" xfId="10273"/>
    <cellStyle name="常规 10 3 2 2 3 2 2 3" xfId="10274"/>
    <cellStyle name="常规 10 3 2 2 3 2 2 4" xfId="10275"/>
    <cellStyle name="常规 10 3 2 2 3 2 2 5" xfId="10276"/>
    <cellStyle name="常规 10 3 2 2 3 2 3" xfId="10277"/>
    <cellStyle name="常规 10 3 2 2 3 2 3 2" xfId="10278"/>
    <cellStyle name="常规 10 3 2 2 3 2 3 3" xfId="10279"/>
    <cellStyle name="常规 10 3 2 2 3 2 4" xfId="10280"/>
    <cellStyle name="常规 10 3 2 2 3 2 4 2" xfId="10281"/>
    <cellStyle name="常规 10 3 2 2 3 2 5" xfId="10282"/>
    <cellStyle name="常规 10 3 2 2 3 2 5 2" xfId="10283"/>
    <cellStyle name="常规 10 3 2 2 3 2 6" xfId="10284"/>
    <cellStyle name="常规 10 3 2 2 3 2 7" xfId="10285"/>
    <cellStyle name="常规 10 3 2 2 3 3" xfId="10286"/>
    <cellStyle name="常规 10 3 2 2 3 3 2" xfId="10287"/>
    <cellStyle name="常规 10 3 2 2 3 3 2 2" xfId="10288"/>
    <cellStyle name="常规 10 3 2 2 3 3 3" xfId="10289"/>
    <cellStyle name="常规 10 3 2 2 3 3 4" xfId="10290"/>
    <cellStyle name="常规 10 3 2 2 3 3 5" xfId="10291"/>
    <cellStyle name="常规 10 3 2 2 3 4" xfId="10292"/>
    <cellStyle name="常规 10 3 2 2 3 4 2" xfId="10293"/>
    <cellStyle name="常规 10 3 2 2 3 4 3" xfId="10294"/>
    <cellStyle name="常规 10 3 2 2 3 5" xfId="10295"/>
    <cellStyle name="常规 10 3 2 2 3 5 2" xfId="10296"/>
    <cellStyle name="常规 10 3 2 2 3 6" xfId="10297"/>
    <cellStyle name="常规 10 3 2 2 3 6 2" xfId="10298"/>
    <cellStyle name="常规 10 3 2 2 3 7" xfId="10299"/>
    <cellStyle name="常规 10 3 2 2 3 8" xfId="10300"/>
    <cellStyle name="常规 10 3 2 2 4" xfId="10301"/>
    <cellStyle name="常规 10 3 2 2 4 2" xfId="10302"/>
    <cellStyle name="常规 10 3 2 2 4 2 2" xfId="10303"/>
    <cellStyle name="常规 10 3 2 2 4 2 2 2" xfId="10304"/>
    <cellStyle name="常规 10 3 2 2 4 2 3" xfId="10305"/>
    <cellStyle name="常规 10 3 2 2 4 2 4" xfId="10306"/>
    <cellStyle name="常规 10 3 2 2 4 2 5" xfId="10307"/>
    <cellStyle name="常规 10 3 2 2 4 3" xfId="10308"/>
    <cellStyle name="常规 10 3 2 2 4 3 2" xfId="10309"/>
    <cellStyle name="常规 10 3 2 2 4 3 3" xfId="10310"/>
    <cellStyle name="常规 10 3 2 2 4 4" xfId="10311"/>
    <cellStyle name="常规 10 3 2 2 4 4 2" xfId="10312"/>
    <cellStyle name="常规 10 3 2 2 4 5" xfId="10313"/>
    <cellStyle name="常规 10 3 2 2 4 5 2" xfId="10314"/>
    <cellStyle name="常规 10 3 2 2 4 6" xfId="10315"/>
    <cellStyle name="常规 10 3 2 2 4 7" xfId="10316"/>
    <cellStyle name="常规 10 3 2 2 5" xfId="10317"/>
    <cellStyle name="常规 10 3 2 2 5 2" xfId="10318"/>
    <cellStyle name="常规 10 3 2 2 5 2 2" xfId="10319"/>
    <cellStyle name="常规 10 3 2 2 5 3" xfId="10320"/>
    <cellStyle name="常规 10 3 2 2 5 4" xfId="10321"/>
    <cellStyle name="常规 10 3 2 2 5 5" xfId="10322"/>
    <cellStyle name="常规 10 3 2 2 6" xfId="10323"/>
    <cellStyle name="常规 10 3 2 2 6 2" xfId="10324"/>
    <cellStyle name="常规 10 3 2 2 6 2 2" xfId="10325"/>
    <cellStyle name="常规 10 3 2 2 6 3" xfId="10326"/>
    <cellStyle name="常规 10 3 2 2 6 4" xfId="10327"/>
    <cellStyle name="常规 10 3 2 2 6 5" xfId="10328"/>
    <cellStyle name="常规 10 3 2 2 7" xfId="10329"/>
    <cellStyle name="常规 10 3 2 2 7 2" xfId="10330"/>
    <cellStyle name="常规 10 3 2 2 7 3" xfId="10331"/>
    <cellStyle name="常规 10 3 2 2 8" xfId="10332"/>
    <cellStyle name="常规 10 3 2 2 8 2" xfId="10333"/>
    <cellStyle name="常规 10 3 2 2 9" xfId="10334"/>
    <cellStyle name="常规 10 3 2 2 9 2" xfId="10335"/>
    <cellStyle name="常规 10 3 2 3" xfId="10336"/>
    <cellStyle name="常规 10 3 2 3 2" xfId="10337"/>
    <cellStyle name="常规 10 3 2 3 2 2" xfId="10338"/>
    <cellStyle name="常规 10 3 2 3 2 2 2" xfId="10339"/>
    <cellStyle name="常规 10 3 2 3 2 2 2 2" xfId="10340"/>
    <cellStyle name="常规 10 3 2 3 2 2 2 2 2" xfId="10341"/>
    <cellStyle name="常规 10 3 2 3 2 2 2 3" xfId="10342"/>
    <cellStyle name="常规 10 3 2 3 2 2 2 4" xfId="10343"/>
    <cellStyle name="常规 10 3 2 3 2 2 2 5" xfId="10344"/>
    <cellStyle name="常规 10 3 2 3 2 2 3" xfId="10345"/>
    <cellStyle name="常规 10 3 2 3 2 2 3 2" xfId="10346"/>
    <cellStyle name="常规 10 3 2 3 2 2 3 3" xfId="10347"/>
    <cellStyle name="常规 10 3 2 3 2 2 4" xfId="10348"/>
    <cellStyle name="常规 10 3 2 3 2 2 4 2" xfId="10349"/>
    <cellStyle name="常规 10 3 2 3 2 2 5" xfId="10350"/>
    <cellStyle name="常规 10 3 2 3 2 2 5 2" xfId="10351"/>
    <cellStyle name="常规 10 3 2 3 2 2 6" xfId="10352"/>
    <cellStyle name="常规 10 3 2 3 2 2 7" xfId="10353"/>
    <cellStyle name="常规 10 3 2 3 2 3" xfId="10354"/>
    <cellStyle name="常规 10 3 2 3 2 3 2" xfId="10355"/>
    <cellStyle name="常规 10 3 2 3 2 3 2 2" xfId="10356"/>
    <cellStyle name="常规 10 3 2 3 2 3 3" xfId="10357"/>
    <cellStyle name="常规 10 3 2 3 2 3 4" xfId="10358"/>
    <cellStyle name="常规 10 3 2 3 2 3 5" xfId="10359"/>
    <cellStyle name="常规 10 3 2 3 2 4" xfId="10360"/>
    <cellStyle name="常规 10 3 2 3 2 4 2" xfId="10361"/>
    <cellStyle name="常规 10 3 2 3 2 4 3" xfId="10362"/>
    <cellStyle name="常规 10 3 2 3 2 5" xfId="10363"/>
    <cellStyle name="常规 10 3 2 3 2 5 2" xfId="10364"/>
    <cellStyle name="常规 10 3 2 3 2 6" xfId="10365"/>
    <cellStyle name="常规 10 3 2 3 2 6 2" xfId="10366"/>
    <cellStyle name="常规 10 3 2 3 2 7" xfId="10367"/>
    <cellStyle name="常规 10 3 2 3 2 8" xfId="10368"/>
    <cellStyle name="常规 10 3 2 3 3" xfId="10369"/>
    <cellStyle name="常规 10 3 2 3 3 2" xfId="10370"/>
    <cellStyle name="常规 10 3 2 3 3 2 2" xfId="10371"/>
    <cellStyle name="常规 10 3 2 3 3 2 2 2" xfId="10372"/>
    <cellStyle name="常规 10 3 2 3 3 2 3" xfId="10373"/>
    <cellStyle name="常规 10 3 2 3 3 2 4" xfId="10374"/>
    <cellStyle name="常规 10 3 2 3 3 2 5" xfId="10375"/>
    <cellStyle name="常规 10 3 2 3 3 3" xfId="10376"/>
    <cellStyle name="常规 10 3 2 3 3 3 2" xfId="10377"/>
    <cellStyle name="常规 10 3 2 3 3 3 3" xfId="10378"/>
    <cellStyle name="常规 10 3 2 3 3 4" xfId="10379"/>
    <cellStyle name="常规 10 3 2 3 3 4 2" xfId="10380"/>
    <cellStyle name="常规 10 3 2 3 3 5" xfId="10381"/>
    <cellStyle name="常规 10 3 2 3 3 5 2" xfId="10382"/>
    <cellStyle name="常规 10 3 2 3 3 6" xfId="10383"/>
    <cellStyle name="常规 10 3 2 3 3 7" xfId="10384"/>
    <cellStyle name="常规 10 3 2 3 4" xfId="10385"/>
    <cellStyle name="常规 10 3 2 3 4 2" xfId="10386"/>
    <cellStyle name="常规 10 3 2 3 4 2 2" xfId="10387"/>
    <cellStyle name="常规 10 3 2 3 4 3" xfId="10388"/>
    <cellStyle name="常规 10 3 2 3 4 4" xfId="10389"/>
    <cellStyle name="常规 10 3 2 3 4 5" xfId="10390"/>
    <cellStyle name="常规 10 3 2 3 5" xfId="10391"/>
    <cellStyle name="常规 10 3 2 3 5 2" xfId="10392"/>
    <cellStyle name="常规 10 3 2 3 5 3" xfId="10393"/>
    <cellStyle name="常规 10 3 2 3 6" xfId="10394"/>
    <cellStyle name="常规 10 3 2 3 6 2" xfId="10395"/>
    <cellStyle name="常规 10 3 2 3 7" xfId="10396"/>
    <cellStyle name="常规 10 3 2 3 7 2" xfId="10397"/>
    <cellStyle name="常规 10 3 2 3 8" xfId="10398"/>
    <cellStyle name="常规 10 3 2 3 9" xfId="10399"/>
    <cellStyle name="常规 10 3 2 4" xfId="10400"/>
    <cellStyle name="常规 10 3 2 4 2" xfId="10401"/>
    <cellStyle name="常规 10 3 2 4 2 2" xfId="10402"/>
    <cellStyle name="常规 10 3 2 4 2 2 2" xfId="10403"/>
    <cellStyle name="常规 10 3 2 4 2 2 2 2" xfId="10404"/>
    <cellStyle name="常规 10 3 2 4 2 2 2 2 2" xfId="10405"/>
    <cellStyle name="常规 10 3 2 4 2 2 2 3" xfId="10406"/>
    <cellStyle name="常规 10 3 2 4 2 2 2 4" xfId="10407"/>
    <cellStyle name="常规 10 3 2 4 2 2 2 5" xfId="10408"/>
    <cellStyle name="常规 10 3 2 4 2 2 3" xfId="10409"/>
    <cellStyle name="常规 10 3 2 4 2 2 3 2" xfId="10410"/>
    <cellStyle name="常规 10 3 2 4 2 2 3 3" xfId="10411"/>
    <cellStyle name="常规 10 3 2 4 2 2 4" xfId="10412"/>
    <cellStyle name="常规 10 3 2 4 2 2 4 2" xfId="10413"/>
    <cellStyle name="常规 10 3 2 4 2 2 5" xfId="10414"/>
    <cellStyle name="常规 10 3 2 4 2 2 5 2" xfId="10415"/>
    <cellStyle name="常规 10 3 2 4 2 2 6" xfId="10416"/>
    <cellStyle name="常规 10 3 2 4 2 2 7" xfId="10417"/>
    <cellStyle name="常规 10 3 2 4 2 3" xfId="10418"/>
    <cellStyle name="常规 10 3 2 4 2 3 2" xfId="10419"/>
    <cellStyle name="常规 10 3 2 4 2 3 2 2" xfId="10420"/>
    <cellStyle name="常规 10 3 2 4 2 3 3" xfId="10421"/>
    <cellStyle name="常规 10 3 2 4 2 3 4" xfId="10422"/>
    <cellStyle name="常规 10 3 2 4 2 3 5" xfId="10423"/>
    <cellStyle name="常规 10 3 2 4 2 4" xfId="10424"/>
    <cellStyle name="常规 10 3 2 4 2 4 2" xfId="10425"/>
    <cellStyle name="常规 10 3 2 4 2 4 3" xfId="10426"/>
    <cellStyle name="常规 10 3 2 4 2 5" xfId="10427"/>
    <cellStyle name="常规 10 3 2 4 2 5 2" xfId="10428"/>
    <cellStyle name="常规 10 3 2 4 2 6" xfId="10429"/>
    <cellStyle name="常规 10 3 2 4 2 6 2" xfId="10430"/>
    <cellStyle name="常规 10 3 2 4 2 7" xfId="10431"/>
    <cellStyle name="常规 10 3 2 4 2 8" xfId="10432"/>
    <cellStyle name="常规 10 3 2 4 3" xfId="10433"/>
    <cellStyle name="常规 10 3 2 4 3 2" xfId="10434"/>
    <cellStyle name="常规 10 3 2 4 3 2 2" xfId="10435"/>
    <cellStyle name="常规 10 3 2 4 3 2 2 2" xfId="10436"/>
    <cellStyle name="常规 10 3 2 4 3 2 3" xfId="10437"/>
    <cellStyle name="常规 10 3 2 4 3 2 4" xfId="10438"/>
    <cellStyle name="常规 10 3 2 4 3 2 5" xfId="10439"/>
    <cellStyle name="常规 10 3 2 4 3 3" xfId="10440"/>
    <cellStyle name="常规 10 3 2 4 3 3 2" xfId="10441"/>
    <cellStyle name="常规 10 3 2 4 3 3 3" xfId="10442"/>
    <cellStyle name="常规 10 3 2 4 3 4" xfId="10443"/>
    <cellStyle name="常规 10 3 2 4 3 4 2" xfId="10444"/>
    <cellStyle name="常规 10 3 2 4 3 5" xfId="10445"/>
    <cellStyle name="常规 10 3 2 4 3 5 2" xfId="10446"/>
    <cellStyle name="常规 10 3 2 4 3 6" xfId="10447"/>
    <cellStyle name="常规 10 3 2 4 3 7" xfId="10448"/>
    <cellStyle name="常规 10 3 2 4 4" xfId="10449"/>
    <cellStyle name="常规 10 3 2 4 4 2" xfId="10450"/>
    <cellStyle name="常规 10 3 2 4 4 2 2" xfId="10451"/>
    <cellStyle name="常规 10 3 2 4 4 3" xfId="10452"/>
    <cellStyle name="常规 10 3 2 4 4 4" xfId="10453"/>
    <cellStyle name="常规 10 3 2 4 4 5" xfId="10454"/>
    <cellStyle name="常规 10 3 2 4 5" xfId="10455"/>
    <cellStyle name="常规 10 3 2 4 5 2" xfId="10456"/>
    <cellStyle name="常规 10 3 2 4 5 3" xfId="10457"/>
    <cellStyle name="常规 10 3 2 4 6" xfId="10458"/>
    <cellStyle name="常规 10 3 2 4 6 2" xfId="10459"/>
    <cellStyle name="常规 10 3 2 4 7" xfId="10460"/>
    <cellStyle name="常规 10 3 2 4 7 2" xfId="10461"/>
    <cellStyle name="常规 10 3 2 4 8" xfId="10462"/>
    <cellStyle name="常规 10 3 2 4 9" xfId="10463"/>
    <cellStyle name="常规 10 3 2 5" xfId="10464"/>
    <cellStyle name="常规 10 3 2 5 2" xfId="10465"/>
    <cellStyle name="常规 10 3 2 5 2 2" xfId="10466"/>
    <cellStyle name="常规 10 3 2 5 2 2 2" xfId="10467"/>
    <cellStyle name="常规 10 3 2 5 2 2 2 2" xfId="10468"/>
    <cellStyle name="常规 10 3 2 5 2 2 2 2 2" xfId="10469"/>
    <cellStyle name="常规 10 3 2 5 2 2 2 3" xfId="10470"/>
    <cellStyle name="常规 10 3 2 5 2 2 2 4" xfId="10471"/>
    <cellStyle name="常规 10 3 2 5 2 2 3" xfId="10472"/>
    <cellStyle name="常规 10 3 2 5 2 2 3 2" xfId="10473"/>
    <cellStyle name="常规 10 3 2 5 2 2 4" xfId="10474"/>
    <cellStyle name="常规 10 3 2 5 2 2 5" xfId="10475"/>
    <cellStyle name="常规 10 3 2 5 2 2 6" xfId="10476"/>
    <cellStyle name="常规 10 3 2 5 2 3" xfId="10477"/>
    <cellStyle name="常规 10 3 2 5 2 3 2" xfId="10478"/>
    <cellStyle name="常规 10 3 2 5 2 3 2 2" xfId="10479"/>
    <cellStyle name="常规 10 3 2 5 2 3 3" xfId="10480"/>
    <cellStyle name="常规 10 3 2 5 2 3 4" xfId="10481"/>
    <cellStyle name="常规 10 3 2 5 2 3 5" xfId="10482"/>
    <cellStyle name="常规 10 3 2 5 2 4" xfId="10483"/>
    <cellStyle name="常规 10 3 2 5 2 4 2" xfId="10484"/>
    <cellStyle name="常规 10 3 2 5 2 4 3" xfId="10485"/>
    <cellStyle name="常规 10 3 2 5 2 5" xfId="10486"/>
    <cellStyle name="常规 10 3 2 5 2 5 2" xfId="10487"/>
    <cellStyle name="常规 10 3 2 5 2 6" xfId="10488"/>
    <cellStyle name="常规 10 3 2 5 2 6 2" xfId="10489"/>
    <cellStyle name="常规 10 3 2 5 2 7" xfId="10490"/>
    <cellStyle name="常规 10 3 2 5 3" xfId="10491"/>
    <cellStyle name="常规 10 3 2 5 3 2" xfId="10492"/>
    <cellStyle name="常规 10 3 2 5 3 2 2" xfId="10493"/>
    <cellStyle name="常规 10 3 2 5 3 2 2 2" xfId="10494"/>
    <cellStyle name="常规 10 3 2 5 3 2 3" xfId="10495"/>
    <cellStyle name="常规 10 3 2 5 3 2 4" xfId="10496"/>
    <cellStyle name="常规 10 3 2 5 3 3" xfId="10497"/>
    <cellStyle name="常规 10 3 2 5 3 3 2" xfId="10498"/>
    <cellStyle name="常规 10 3 2 5 3 4" xfId="10499"/>
    <cellStyle name="常规 10 3 2 5 3 5" xfId="10500"/>
    <cellStyle name="常规 10 3 2 5 3 6" xfId="10501"/>
    <cellStyle name="常规 10 3 2 5 4" xfId="10502"/>
    <cellStyle name="常规 10 3 2 5 4 2" xfId="10503"/>
    <cellStyle name="常规 10 3 2 5 4 2 2" xfId="10504"/>
    <cellStyle name="常规 10 3 2 5 4 3" xfId="10505"/>
    <cellStyle name="常规 10 3 2 5 4 4" xfId="10506"/>
    <cellStyle name="常规 10 3 2 5 4 5" xfId="10507"/>
    <cellStyle name="常规 10 3 2 5 5" xfId="10508"/>
    <cellStyle name="常规 10 3 2 5 5 2" xfId="10509"/>
    <cellStyle name="常规 10 3 2 5 5 3" xfId="10510"/>
    <cellStyle name="常规 10 3 2 5 6" xfId="10511"/>
    <cellStyle name="常规 10 3 2 5 6 2" xfId="10512"/>
    <cellStyle name="常规 10 3 2 5 7" xfId="10513"/>
    <cellStyle name="常规 10 3 2 5 7 2" xfId="10514"/>
    <cellStyle name="常规 10 3 2 5 8" xfId="10515"/>
    <cellStyle name="常规 10 3 2 6" xfId="10516"/>
    <cellStyle name="常规 10 3 2 6 2" xfId="10517"/>
    <cellStyle name="常规 10 3 2 6 2 2" xfId="10518"/>
    <cellStyle name="常规 10 3 2 6 2 2 2" xfId="10519"/>
    <cellStyle name="常规 10 3 2 6 2 2 2 2" xfId="10520"/>
    <cellStyle name="常规 10 3 2 6 2 2 3" xfId="10521"/>
    <cellStyle name="常规 10 3 2 6 2 2 4" xfId="10522"/>
    <cellStyle name="常规 10 3 2 6 2 3" xfId="10523"/>
    <cellStyle name="常规 10 3 2 6 2 3 2" xfId="10524"/>
    <cellStyle name="常规 10 3 2 6 2 4" xfId="10525"/>
    <cellStyle name="常规 10 3 2 6 2 5" xfId="10526"/>
    <cellStyle name="常规 10 3 2 6 2 6" xfId="10527"/>
    <cellStyle name="常规 10 3 2 6 3" xfId="10528"/>
    <cellStyle name="常规 10 3 2 6 3 2" xfId="10529"/>
    <cellStyle name="常规 10 3 2 6 3 2 2" xfId="10530"/>
    <cellStyle name="常规 10 3 2 6 3 3" xfId="10531"/>
    <cellStyle name="常规 10 3 2 6 3 4" xfId="10532"/>
    <cellStyle name="常规 10 3 2 6 3 5" xfId="10533"/>
    <cellStyle name="常规 10 3 2 6 4" xfId="10534"/>
    <cellStyle name="常规 10 3 2 6 4 2" xfId="10535"/>
    <cellStyle name="常规 10 3 2 6 4 3" xfId="10536"/>
    <cellStyle name="常规 10 3 2 6 5" xfId="10537"/>
    <cellStyle name="常规 10 3 2 6 5 2" xfId="10538"/>
    <cellStyle name="常规 10 3 2 6 6" xfId="10539"/>
    <cellStyle name="常规 10 3 2 6 6 2" xfId="10540"/>
    <cellStyle name="常规 10 3 2 6 7" xfId="10541"/>
    <cellStyle name="常规 10 3 2 7" xfId="10542"/>
    <cellStyle name="常规 10 3 2 7 2" xfId="10543"/>
    <cellStyle name="常规 10 3 2 7 2 2" xfId="10544"/>
    <cellStyle name="常规 10 3 2 7 2 2 2" xfId="10545"/>
    <cellStyle name="常规 10 3 2 7 2 3" xfId="10546"/>
    <cellStyle name="常规 10 3 2 7 2 4" xfId="10547"/>
    <cellStyle name="常规 10 3 2 7 3" xfId="10548"/>
    <cellStyle name="常规 10 3 2 7 3 2" xfId="10549"/>
    <cellStyle name="常规 10 3 2 7 4" xfId="10550"/>
    <cellStyle name="常规 10 3 2 7 5" xfId="10551"/>
    <cellStyle name="常规 10 3 2 7 6" xfId="10552"/>
    <cellStyle name="常规 10 3 2 8" xfId="10553"/>
    <cellStyle name="常规 10 3 2 8 2" xfId="10554"/>
    <cellStyle name="常规 10 3 2 8 2 2" xfId="10555"/>
    <cellStyle name="常规 10 3 2 8 2 2 2" xfId="10556"/>
    <cellStyle name="常规 10 3 2 8 2 3" xfId="10557"/>
    <cellStyle name="常规 10 3 2 8 2 4" xfId="10558"/>
    <cellStyle name="常规 10 3 2 8 3" xfId="10559"/>
    <cellStyle name="常规 10 3 2 8 3 2" xfId="10560"/>
    <cellStyle name="常规 10 3 2 8 4" xfId="10561"/>
    <cellStyle name="常规 10 3 2 8 5" xfId="10562"/>
    <cellStyle name="常规 10 3 2 8 6" xfId="10563"/>
    <cellStyle name="常规 10 3 2 9" xfId="10564"/>
    <cellStyle name="常规 10 3 2 9 2" xfId="10565"/>
    <cellStyle name="常规 10 3 2 9 2 2" xfId="10566"/>
    <cellStyle name="常规 10 3 2 9 3" xfId="10567"/>
    <cellStyle name="常规 10 3 2 9 4" xfId="10568"/>
    <cellStyle name="常规 10 3 2 9 5" xfId="10569"/>
    <cellStyle name="常规 10 3 3" xfId="10570"/>
    <cellStyle name="常规 10 3 3 10" xfId="10571"/>
    <cellStyle name="常规 10 3 3 2" xfId="10572"/>
    <cellStyle name="常规 10 3 3 2 2" xfId="10573"/>
    <cellStyle name="常规 10 3 3 2 2 2" xfId="10574"/>
    <cellStyle name="常规 10 3 3 2 2 2 2" xfId="10575"/>
    <cellStyle name="常规 10 3 3 2 2 2 2 2" xfId="10576"/>
    <cellStyle name="常规 10 3 3 2 2 2 2 2 2" xfId="10577"/>
    <cellStyle name="常规 10 3 3 2 2 2 2 3" xfId="10578"/>
    <cellStyle name="常规 10 3 3 2 2 2 2 4" xfId="10579"/>
    <cellStyle name="常规 10 3 3 2 2 2 2 5" xfId="10580"/>
    <cellStyle name="常规 10 3 3 2 2 2 3" xfId="10581"/>
    <cellStyle name="常规 10 3 3 2 2 2 3 2" xfId="10582"/>
    <cellStyle name="常规 10 3 3 2 2 2 3 3" xfId="10583"/>
    <cellStyle name="常规 10 3 3 2 2 2 4" xfId="10584"/>
    <cellStyle name="常规 10 3 3 2 2 2 4 2" xfId="10585"/>
    <cellStyle name="常规 10 3 3 2 2 2 5" xfId="10586"/>
    <cellStyle name="常规 10 3 3 2 2 2 5 2" xfId="10587"/>
    <cellStyle name="常规 10 3 3 2 2 2 6" xfId="10588"/>
    <cellStyle name="常规 10 3 3 2 2 2 7" xfId="10589"/>
    <cellStyle name="常规 10 3 3 2 2 3" xfId="10590"/>
    <cellStyle name="常规 10 3 3 2 2 3 2" xfId="10591"/>
    <cellStyle name="常规 10 3 3 2 2 3 2 2" xfId="10592"/>
    <cellStyle name="常规 10 3 3 2 2 3 3" xfId="10593"/>
    <cellStyle name="常规 10 3 3 2 2 3 4" xfId="10594"/>
    <cellStyle name="常规 10 3 3 2 2 3 5" xfId="10595"/>
    <cellStyle name="常规 10 3 3 2 2 4" xfId="10596"/>
    <cellStyle name="常规 10 3 3 2 2 4 2" xfId="10597"/>
    <cellStyle name="常规 10 3 3 2 2 4 3" xfId="10598"/>
    <cellStyle name="常规 10 3 3 2 2 5" xfId="10599"/>
    <cellStyle name="常规 10 3 3 2 2 5 2" xfId="10600"/>
    <cellStyle name="常规 10 3 3 2 2 6" xfId="10601"/>
    <cellStyle name="常规 10 3 3 2 2 6 2" xfId="10602"/>
    <cellStyle name="常规 10 3 3 2 2 7" xfId="10603"/>
    <cellStyle name="常规 10 3 3 2 2 8" xfId="10604"/>
    <cellStyle name="常规 10 3 3 2 3" xfId="10605"/>
    <cellStyle name="常规 10 3 3 2 3 2" xfId="10606"/>
    <cellStyle name="常规 10 3 3 2 3 2 2" xfId="10607"/>
    <cellStyle name="常规 10 3 3 2 3 2 2 2" xfId="10608"/>
    <cellStyle name="常规 10 3 3 2 3 2 3" xfId="10609"/>
    <cellStyle name="常规 10 3 3 2 3 2 4" xfId="10610"/>
    <cellStyle name="常规 10 3 3 2 3 2 5" xfId="10611"/>
    <cellStyle name="常规 10 3 3 2 3 3" xfId="10612"/>
    <cellStyle name="常规 10 3 3 2 3 3 2" xfId="10613"/>
    <cellStyle name="常规 10 3 3 2 3 3 3" xfId="10614"/>
    <cellStyle name="常规 10 3 3 2 3 4" xfId="10615"/>
    <cellStyle name="常规 10 3 3 2 3 4 2" xfId="10616"/>
    <cellStyle name="常规 10 3 3 2 3 5" xfId="10617"/>
    <cellStyle name="常规 10 3 3 2 3 5 2" xfId="10618"/>
    <cellStyle name="常规 10 3 3 2 3 6" xfId="10619"/>
    <cellStyle name="常规 10 3 3 2 3 7" xfId="10620"/>
    <cellStyle name="常规 10 3 3 2 4" xfId="10621"/>
    <cellStyle name="常规 10 3 3 2 4 2" xfId="10622"/>
    <cellStyle name="常规 10 3 3 2 4 2 2" xfId="10623"/>
    <cellStyle name="常规 10 3 3 2 4 3" xfId="10624"/>
    <cellStyle name="常规 10 3 3 2 4 4" xfId="10625"/>
    <cellStyle name="常规 10 3 3 2 4 5" xfId="10626"/>
    <cellStyle name="常规 10 3 3 2 5" xfId="10627"/>
    <cellStyle name="常规 10 3 3 2 5 2" xfId="10628"/>
    <cellStyle name="常规 10 3 3 2 5 2 2" xfId="10629"/>
    <cellStyle name="常规 10 3 3 2 5 3" xfId="10630"/>
    <cellStyle name="常规 10 3 3 2 5 4" xfId="10631"/>
    <cellStyle name="常规 10 3 3 2 5 5" xfId="10632"/>
    <cellStyle name="常规 10 3 3 2 6" xfId="10633"/>
    <cellStyle name="常规 10 3 3 2 6 2" xfId="10634"/>
    <cellStyle name="常规 10 3 3 2 6 3" xfId="10635"/>
    <cellStyle name="常规 10 3 3 2 7" xfId="10636"/>
    <cellStyle name="常规 10 3 3 2 7 2" xfId="10637"/>
    <cellStyle name="常规 10 3 3 2 8" xfId="10638"/>
    <cellStyle name="常规 10 3 3 2 8 2" xfId="10639"/>
    <cellStyle name="常规 10 3 3 2 9" xfId="10640"/>
    <cellStyle name="常规 10 3 3 3" xfId="10641"/>
    <cellStyle name="常规 10 3 3 3 2" xfId="10642"/>
    <cellStyle name="常规 10 3 3 3 2 2" xfId="10643"/>
    <cellStyle name="常规 10 3 3 3 2 2 2" xfId="10644"/>
    <cellStyle name="常规 10 3 3 3 2 2 2 2" xfId="10645"/>
    <cellStyle name="常规 10 3 3 3 2 2 3" xfId="10646"/>
    <cellStyle name="常规 10 3 3 3 2 2 4" xfId="10647"/>
    <cellStyle name="常规 10 3 3 3 2 2 5" xfId="10648"/>
    <cellStyle name="常规 10 3 3 3 2 3" xfId="10649"/>
    <cellStyle name="常规 10 3 3 3 2 3 2" xfId="10650"/>
    <cellStyle name="常规 10 3 3 3 2 3 3" xfId="10651"/>
    <cellStyle name="常规 10 3 3 3 2 4" xfId="10652"/>
    <cellStyle name="常规 10 3 3 3 2 4 2" xfId="10653"/>
    <cellStyle name="常规 10 3 3 3 2 5" xfId="10654"/>
    <cellStyle name="常规 10 3 3 3 2 5 2" xfId="10655"/>
    <cellStyle name="常规 10 3 3 3 2 6" xfId="10656"/>
    <cellStyle name="常规 10 3 3 3 2 7" xfId="10657"/>
    <cellStyle name="常规 10 3 3 3 3" xfId="10658"/>
    <cellStyle name="常规 10 3 3 3 3 2" xfId="10659"/>
    <cellStyle name="常规 10 3 3 3 3 2 2" xfId="10660"/>
    <cellStyle name="常规 10 3 3 3 3 3" xfId="10661"/>
    <cellStyle name="常规 10 3 3 3 3 4" xfId="10662"/>
    <cellStyle name="常规 10 3 3 3 3 5" xfId="10663"/>
    <cellStyle name="常规 10 3 3 3 4" xfId="10664"/>
    <cellStyle name="常规 10 3 3 3 4 2" xfId="10665"/>
    <cellStyle name="常规 10 3 3 3 4 3" xfId="10666"/>
    <cellStyle name="常规 10 3 3 3 5" xfId="10667"/>
    <cellStyle name="常规 10 3 3 3 5 2" xfId="10668"/>
    <cellStyle name="常规 10 3 3 3 6" xfId="10669"/>
    <cellStyle name="常规 10 3 3 3 6 2" xfId="10670"/>
    <cellStyle name="常规 10 3 3 3 7" xfId="10671"/>
    <cellStyle name="常规 10 3 3 3 8" xfId="10672"/>
    <cellStyle name="常规 10 3 3 4" xfId="10673"/>
    <cellStyle name="常规 10 3 3 4 2" xfId="10674"/>
    <cellStyle name="常规 10 3 3 4 2 2" xfId="10675"/>
    <cellStyle name="常规 10 3 3 4 2 2 2" xfId="10676"/>
    <cellStyle name="常规 10 3 3 4 2 3" xfId="10677"/>
    <cellStyle name="常规 10 3 3 4 2 4" xfId="10678"/>
    <cellStyle name="常规 10 3 3 4 2 5" xfId="10679"/>
    <cellStyle name="常规 10 3 3 4 3" xfId="10680"/>
    <cellStyle name="常规 10 3 3 4 3 2" xfId="10681"/>
    <cellStyle name="常规 10 3 3 4 3 3" xfId="10682"/>
    <cellStyle name="常规 10 3 3 4 4" xfId="10683"/>
    <cellStyle name="常规 10 3 3 4 4 2" xfId="10684"/>
    <cellStyle name="常规 10 3 3 4 5" xfId="10685"/>
    <cellStyle name="常规 10 3 3 4 5 2" xfId="10686"/>
    <cellStyle name="常规 10 3 3 4 6" xfId="10687"/>
    <cellStyle name="常规 10 3 3 4 7" xfId="10688"/>
    <cellStyle name="常规 10 3 3 5" xfId="10689"/>
    <cellStyle name="常规 10 3 3 5 2" xfId="10690"/>
    <cellStyle name="常规 10 3 3 5 2 2" xfId="10691"/>
    <cellStyle name="常规 10 3 3 5 3" xfId="10692"/>
    <cellStyle name="常规 10 3 3 5 4" xfId="10693"/>
    <cellStyle name="常规 10 3 3 5 5" xfId="10694"/>
    <cellStyle name="常规 10 3 3 6" xfId="10695"/>
    <cellStyle name="常规 10 3 3 6 2" xfId="10696"/>
    <cellStyle name="常规 10 3 3 6 2 2" xfId="10697"/>
    <cellStyle name="常规 10 3 3 6 3" xfId="10698"/>
    <cellStyle name="常规 10 3 3 6 4" xfId="10699"/>
    <cellStyle name="常规 10 3 3 6 5" xfId="10700"/>
    <cellStyle name="常规 10 3 3 7" xfId="10701"/>
    <cellStyle name="常规 10 3 3 7 2" xfId="10702"/>
    <cellStyle name="常规 10 3 3 7 3" xfId="10703"/>
    <cellStyle name="常规 10 3 3 8" xfId="10704"/>
    <cellStyle name="常规 10 3 3 8 2" xfId="10705"/>
    <cellStyle name="常规 10 3 3 9" xfId="10706"/>
    <cellStyle name="常规 10 3 3 9 2" xfId="10707"/>
    <cellStyle name="常规 10 3 4" xfId="10708"/>
    <cellStyle name="常规 10 3 4 10" xfId="10709"/>
    <cellStyle name="常规 10 3 4 2" xfId="10710"/>
    <cellStyle name="常规 10 3 4 2 2" xfId="10711"/>
    <cellStyle name="常规 10 3 4 2 2 2" xfId="10712"/>
    <cellStyle name="常规 10 3 4 2 2 2 2" xfId="10713"/>
    <cellStyle name="常规 10 3 4 2 2 2 2 2" xfId="10714"/>
    <cellStyle name="常规 10 3 4 2 2 2 2 3" xfId="10715"/>
    <cellStyle name="常规 10 3 4 2 2 2 3" xfId="10716"/>
    <cellStyle name="常规 10 3 4 2 2 2 3 2" xfId="10717"/>
    <cellStyle name="常规 10 3 4 2 2 2 4" xfId="10718"/>
    <cellStyle name="常规 10 3 4 2 2 2 4 2" xfId="10719"/>
    <cellStyle name="常规 10 3 4 2 2 2 5" xfId="10720"/>
    <cellStyle name="常规 10 3 4 2 2 2 6" xfId="10721"/>
    <cellStyle name="常规 10 3 4 2 2 2 7" xfId="10722"/>
    <cellStyle name="常规 10 3 4 2 2 3" xfId="10723"/>
    <cellStyle name="常规 10 3 4 2 2 3 2" xfId="10724"/>
    <cellStyle name="常规 10 3 4 2 2 3 3" xfId="10725"/>
    <cellStyle name="常规 10 3 4 2 2 4" xfId="10726"/>
    <cellStyle name="常规 10 3 4 2 2 4 2" xfId="10727"/>
    <cellStyle name="常规 10 3 4 2 2 5" xfId="10728"/>
    <cellStyle name="常规 10 3 4 2 2 5 2" xfId="10729"/>
    <cellStyle name="常规 10 3 4 2 2 6" xfId="10730"/>
    <cellStyle name="常规 10 3 4 2 2 7" xfId="10731"/>
    <cellStyle name="常规 10 3 4 2 2 8" xfId="10732"/>
    <cellStyle name="常规 10 3 4 2 3" xfId="10733"/>
    <cellStyle name="常规 10 3 4 2 3 2" xfId="10734"/>
    <cellStyle name="常规 10 3 4 2 3 2 2" xfId="10735"/>
    <cellStyle name="常规 10 3 4 2 3 2 3" xfId="10736"/>
    <cellStyle name="常规 10 3 4 2 3 3" xfId="10737"/>
    <cellStyle name="常规 10 3 4 2 3 3 2" xfId="10738"/>
    <cellStyle name="常规 10 3 4 2 3 4" xfId="10739"/>
    <cellStyle name="常规 10 3 4 2 3 4 2" xfId="10740"/>
    <cellStyle name="常规 10 3 4 2 3 5" xfId="10741"/>
    <cellStyle name="常规 10 3 4 2 3 6" xfId="10742"/>
    <cellStyle name="常规 10 3 4 2 3 7" xfId="10743"/>
    <cellStyle name="常规 10 3 4 2 4" xfId="10744"/>
    <cellStyle name="常规 10 3 4 2 4 2" xfId="10745"/>
    <cellStyle name="常规 10 3 4 2 4 3" xfId="10746"/>
    <cellStyle name="常规 10 3 4 2 5" xfId="10747"/>
    <cellStyle name="常规 10 3 4 2 5 2" xfId="10748"/>
    <cellStyle name="常规 10 3 4 2 6" xfId="10749"/>
    <cellStyle name="常规 10 3 4 2 6 2" xfId="10750"/>
    <cellStyle name="常规 10 3 4 2 7" xfId="10751"/>
    <cellStyle name="常规 10 3 4 2 8" xfId="10752"/>
    <cellStyle name="常规 10 3 4 2 9" xfId="10753"/>
    <cellStyle name="常规 10 3 4 3" xfId="10754"/>
    <cellStyle name="常规 10 3 4 3 2" xfId="10755"/>
    <cellStyle name="常规 10 3 4 3 2 2" xfId="10756"/>
    <cellStyle name="常规 10 3 4 3 2 2 2" xfId="10757"/>
    <cellStyle name="常规 10 3 4 3 2 2 3" xfId="10758"/>
    <cellStyle name="常规 10 3 4 3 2 3" xfId="10759"/>
    <cellStyle name="常规 10 3 4 3 2 3 2" xfId="10760"/>
    <cellStyle name="常规 10 3 4 3 2 4" xfId="10761"/>
    <cellStyle name="常规 10 3 4 3 2 4 2" xfId="10762"/>
    <cellStyle name="常规 10 3 4 3 2 5" xfId="10763"/>
    <cellStyle name="常规 10 3 4 3 2 6" xfId="10764"/>
    <cellStyle name="常规 10 3 4 3 2 7" xfId="10765"/>
    <cellStyle name="常规 10 3 4 3 3" xfId="10766"/>
    <cellStyle name="常规 10 3 4 3 3 2" xfId="10767"/>
    <cellStyle name="常规 10 3 4 3 3 3" xfId="10768"/>
    <cellStyle name="常规 10 3 4 3 4" xfId="10769"/>
    <cellStyle name="常规 10 3 4 3 4 2" xfId="10770"/>
    <cellStyle name="常规 10 3 4 3 5" xfId="10771"/>
    <cellStyle name="常规 10 3 4 3 5 2" xfId="10772"/>
    <cellStyle name="常规 10 3 4 3 6" xfId="10773"/>
    <cellStyle name="常规 10 3 4 3 7" xfId="10774"/>
    <cellStyle name="常规 10 3 4 3 8" xfId="10775"/>
    <cellStyle name="常规 10 3 4 4" xfId="10776"/>
    <cellStyle name="常规 10 3 4 4 2" xfId="10777"/>
    <cellStyle name="常规 10 3 4 4 2 2" xfId="10778"/>
    <cellStyle name="常规 10 3 4 4 2 3" xfId="10779"/>
    <cellStyle name="常规 10 3 4 4 3" xfId="10780"/>
    <cellStyle name="常规 10 3 4 4 3 2" xfId="10781"/>
    <cellStyle name="常规 10 3 4 4 4" xfId="10782"/>
    <cellStyle name="常规 10 3 4 4 4 2" xfId="10783"/>
    <cellStyle name="常规 10 3 4 4 5" xfId="10784"/>
    <cellStyle name="常规 10 3 4 4 6" xfId="10785"/>
    <cellStyle name="常规 10 3 4 4 7" xfId="10786"/>
    <cellStyle name="常规 10 3 4 5" xfId="10787"/>
    <cellStyle name="常规 10 3 4 5 2" xfId="10788"/>
    <cellStyle name="常规 10 3 4 5 2 2" xfId="10789"/>
    <cellStyle name="常规 10 3 4 5 3" xfId="10790"/>
    <cellStyle name="常规 10 3 4 5 4" xfId="10791"/>
    <cellStyle name="常规 10 3 4 5 5" xfId="10792"/>
    <cellStyle name="常规 10 3 4 6" xfId="10793"/>
    <cellStyle name="常规 10 3 4 6 2" xfId="10794"/>
    <cellStyle name="常规 10 3 4 6 3" xfId="10795"/>
    <cellStyle name="常规 10 3 4 7" xfId="10796"/>
    <cellStyle name="常规 10 3 4 7 2" xfId="10797"/>
    <cellStyle name="常规 10 3 4 8" xfId="10798"/>
    <cellStyle name="常规 10 3 4 8 2" xfId="10799"/>
    <cellStyle name="常规 10 3 4 9" xfId="10800"/>
    <cellStyle name="常规 10 3 5" xfId="10801"/>
    <cellStyle name="常规 10 3 5 10" xfId="10802"/>
    <cellStyle name="常规 10 3 5 2" xfId="10803"/>
    <cellStyle name="常规 10 3 5 2 2" xfId="10804"/>
    <cellStyle name="常规 10 3 5 2 2 2" xfId="10805"/>
    <cellStyle name="常规 10 3 5 2 2 2 2" xfId="10806"/>
    <cellStyle name="常规 10 3 5 2 2 2 2 2" xfId="10807"/>
    <cellStyle name="常规 10 3 5 2 2 2 2 3" xfId="10808"/>
    <cellStyle name="常规 10 3 5 2 2 2 3" xfId="10809"/>
    <cellStyle name="常规 10 3 5 2 2 2 3 2" xfId="10810"/>
    <cellStyle name="常规 10 3 5 2 2 2 4" xfId="10811"/>
    <cellStyle name="常规 10 3 5 2 2 2 4 2" xfId="10812"/>
    <cellStyle name="常规 10 3 5 2 2 2 5" xfId="10813"/>
    <cellStyle name="常规 10 3 5 2 2 2 6" xfId="10814"/>
    <cellStyle name="常规 10 3 5 2 2 2 7" xfId="10815"/>
    <cellStyle name="常规 10 3 5 2 2 3" xfId="10816"/>
    <cellStyle name="常规 10 3 5 2 2 3 2" xfId="10817"/>
    <cellStyle name="常规 10 3 5 2 2 3 3" xfId="10818"/>
    <cellStyle name="常规 10 3 5 2 2 4" xfId="10819"/>
    <cellStyle name="常规 10 3 5 2 2 4 2" xfId="10820"/>
    <cellStyle name="常规 10 3 5 2 2 5" xfId="10821"/>
    <cellStyle name="常规 10 3 5 2 2 5 2" xfId="10822"/>
    <cellStyle name="常规 10 3 5 2 2 6" xfId="10823"/>
    <cellStyle name="常规 10 3 5 2 2 7" xfId="10824"/>
    <cellStyle name="常规 10 3 5 2 2 8" xfId="10825"/>
    <cellStyle name="常规 10 3 5 2 3" xfId="10826"/>
    <cellStyle name="常规 10 3 5 2 3 2" xfId="10827"/>
    <cellStyle name="常规 10 3 5 2 3 2 2" xfId="10828"/>
    <cellStyle name="常规 10 3 5 2 3 2 3" xfId="10829"/>
    <cellStyle name="常规 10 3 5 2 3 3" xfId="10830"/>
    <cellStyle name="常规 10 3 5 2 3 3 2" xfId="10831"/>
    <cellStyle name="常规 10 3 5 2 3 4" xfId="10832"/>
    <cellStyle name="常规 10 3 5 2 3 4 2" xfId="10833"/>
    <cellStyle name="常规 10 3 5 2 3 5" xfId="10834"/>
    <cellStyle name="常规 10 3 5 2 3 6" xfId="10835"/>
    <cellStyle name="常规 10 3 5 2 3 7" xfId="10836"/>
    <cellStyle name="常规 10 3 5 2 4" xfId="10837"/>
    <cellStyle name="常规 10 3 5 2 4 2" xfId="10838"/>
    <cellStyle name="常规 10 3 5 2 4 3" xfId="10839"/>
    <cellStyle name="常规 10 3 5 2 5" xfId="10840"/>
    <cellStyle name="常规 10 3 5 2 5 2" xfId="10841"/>
    <cellStyle name="常规 10 3 5 2 6" xfId="10842"/>
    <cellStyle name="常规 10 3 5 2 6 2" xfId="10843"/>
    <cellStyle name="常规 10 3 5 2 7" xfId="10844"/>
    <cellStyle name="常规 10 3 5 2 8" xfId="10845"/>
    <cellStyle name="常规 10 3 5 2 9" xfId="10846"/>
    <cellStyle name="常规 10 3 5 3" xfId="10847"/>
    <cellStyle name="常规 10 3 5 3 2" xfId="10848"/>
    <cellStyle name="常规 10 3 5 3 2 2" xfId="10849"/>
    <cellStyle name="常规 10 3 5 3 2 2 2" xfId="10850"/>
    <cellStyle name="常规 10 3 5 3 2 2 3" xfId="10851"/>
    <cellStyle name="常规 10 3 5 3 2 3" xfId="10852"/>
    <cellStyle name="常规 10 3 5 3 2 3 2" xfId="10853"/>
    <cellStyle name="常规 10 3 5 3 2 4" xfId="10854"/>
    <cellStyle name="常规 10 3 5 3 2 4 2" xfId="10855"/>
    <cellStyle name="常规 10 3 5 3 2 5" xfId="10856"/>
    <cellStyle name="常规 10 3 5 3 2 6" xfId="10857"/>
    <cellStyle name="常规 10 3 5 3 2 7" xfId="10858"/>
    <cellStyle name="常规 10 3 5 3 3" xfId="10859"/>
    <cellStyle name="常规 10 3 5 3 3 2" xfId="10860"/>
    <cellStyle name="常规 10 3 5 3 3 3" xfId="10861"/>
    <cellStyle name="常规 10 3 5 3 4" xfId="10862"/>
    <cellStyle name="常规 10 3 5 3 4 2" xfId="10863"/>
    <cellStyle name="常规 10 3 5 3 5" xfId="10864"/>
    <cellStyle name="常规 10 3 5 3 5 2" xfId="10865"/>
    <cellStyle name="常规 10 3 5 3 6" xfId="10866"/>
    <cellStyle name="常规 10 3 5 3 7" xfId="10867"/>
    <cellStyle name="常规 10 3 5 3 8" xfId="10868"/>
    <cellStyle name="常规 10 3 5 4" xfId="10869"/>
    <cellStyle name="常规 10 3 5 4 2" xfId="10870"/>
    <cellStyle name="常规 10 3 5 4 2 2" xfId="10871"/>
    <cellStyle name="常规 10 3 5 4 2 3" xfId="10872"/>
    <cellStyle name="常规 10 3 5 4 3" xfId="10873"/>
    <cellStyle name="常规 10 3 5 4 3 2" xfId="10874"/>
    <cellStyle name="常规 10 3 5 4 4" xfId="10875"/>
    <cellStyle name="常规 10 3 5 4 4 2" xfId="10876"/>
    <cellStyle name="常规 10 3 5 4 5" xfId="10877"/>
    <cellStyle name="常规 10 3 5 4 6" xfId="10878"/>
    <cellStyle name="常规 10 3 5 4 7" xfId="10879"/>
    <cellStyle name="常规 10 3 5 5" xfId="10880"/>
    <cellStyle name="常规 10 3 5 5 2" xfId="10881"/>
    <cellStyle name="常规 10 3 5 5 3" xfId="10882"/>
    <cellStyle name="常规 10 3 5 6" xfId="10883"/>
    <cellStyle name="常规 10 3 5 6 2" xfId="10884"/>
    <cellStyle name="常规 10 3 5 7" xfId="10885"/>
    <cellStyle name="常规 10 3 5 7 2" xfId="10886"/>
    <cellStyle name="常规 10 3 5 8" xfId="10887"/>
    <cellStyle name="常规 10 3 5 9" xfId="10888"/>
    <cellStyle name="常规 10 3 6" xfId="10889"/>
    <cellStyle name="常规 10 3 6 2" xfId="10890"/>
    <cellStyle name="常规 10 3 6 2 2" xfId="10891"/>
    <cellStyle name="常规 10 3 6 2 2 2" xfId="10892"/>
    <cellStyle name="常规 10 3 6 2 2 2 2" xfId="10893"/>
    <cellStyle name="常规 10 3 6 2 2 2 2 2" xfId="10894"/>
    <cellStyle name="常规 10 3 6 2 2 2 3" xfId="10895"/>
    <cellStyle name="常规 10 3 6 2 2 2 4" xfId="10896"/>
    <cellStyle name="常规 10 3 6 2 2 2 5" xfId="10897"/>
    <cellStyle name="常规 10 3 6 2 2 3" xfId="10898"/>
    <cellStyle name="常规 10 3 6 2 2 3 2" xfId="10899"/>
    <cellStyle name="常规 10 3 6 2 2 3 3" xfId="10900"/>
    <cellStyle name="常规 10 3 6 2 2 4" xfId="10901"/>
    <cellStyle name="常规 10 3 6 2 2 4 2" xfId="10902"/>
    <cellStyle name="常规 10 3 6 2 2 5" xfId="10903"/>
    <cellStyle name="常规 10 3 6 2 2 5 2" xfId="10904"/>
    <cellStyle name="常规 10 3 6 2 2 6" xfId="10905"/>
    <cellStyle name="常规 10 3 6 2 2 7" xfId="10906"/>
    <cellStyle name="常规 10 3 6 2 3" xfId="10907"/>
    <cellStyle name="常规 10 3 6 2 3 2" xfId="10908"/>
    <cellStyle name="常规 10 3 6 2 3 2 2" xfId="10909"/>
    <cellStyle name="常规 10 3 6 2 3 3" xfId="10910"/>
    <cellStyle name="常规 10 3 6 2 3 4" xfId="10911"/>
    <cellStyle name="常规 10 3 6 2 3 5" xfId="10912"/>
    <cellStyle name="常规 10 3 6 2 4" xfId="10913"/>
    <cellStyle name="常规 10 3 6 2 4 2" xfId="10914"/>
    <cellStyle name="常规 10 3 6 2 4 3" xfId="10915"/>
    <cellStyle name="常规 10 3 6 2 5" xfId="10916"/>
    <cellStyle name="常规 10 3 6 2 5 2" xfId="10917"/>
    <cellStyle name="常规 10 3 6 2 6" xfId="10918"/>
    <cellStyle name="常规 10 3 6 2 6 2" xfId="10919"/>
    <cellStyle name="常规 10 3 6 2 7" xfId="10920"/>
    <cellStyle name="常规 10 3 6 2 8" xfId="10921"/>
    <cellStyle name="常规 10 3 6 3" xfId="10922"/>
    <cellStyle name="常规 10 3 6 3 2" xfId="10923"/>
    <cellStyle name="常规 10 3 6 3 2 2" xfId="10924"/>
    <cellStyle name="常规 10 3 6 3 2 2 2" xfId="10925"/>
    <cellStyle name="常规 10 3 6 3 2 3" xfId="10926"/>
    <cellStyle name="常规 10 3 6 3 2 4" xfId="10927"/>
    <cellStyle name="常规 10 3 6 3 2 5" xfId="10928"/>
    <cellStyle name="常规 10 3 6 3 3" xfId="10929"/>
    <cellStyle name="常规 10 3 6 3 3 2" xfId="10930"/>
    <cellStyle name="常规 10 3 6 3 3 3" xfId="10931"/>
    <cellStyle name="常规 10 3 6 3 4" xfId="10932"/>
    <cellStyle name="常规 10 3 6 3 4 2" xfId="10933"/>
    <cellStyle name="常规 10 3 6 3 5" xfId="10934"/>
    <cellStyle name="常规 10 3 6 3 5 2" xfId="10935"/>
    <cellStyle name="常规 10 3 6 3 6" xfId="10936"/>
    <cellStyle name="常规 10 3 6 3 7" xfId="10937"/>
    <cellStyle name="常规 10 3 6 4" xfId="10938"/>
    <cellStyle name="常规 10 3 6 4 2" xfId="10939"/>
    <cellStyle name="常规 10 3 6 4 2 2" xfId="10940"/>
    <cellStyle name="常规 10 3 6 4 3" xfId="10941"/>
    <cellStyle name="常规 10 3 6 4 4" xfId="10942"/>
    <cellStyle name="常规 10 3 6 4 5" xfId="10943"/>
    <cellStyle name="常规 10 3 6 5" xfId="10944"/>
    <cellStyle name="常规 10 3 6 5 2" xfId="10945"/>
    <cellStyle name="常规 10 3 6 5 3" xfId="10946"/>
    <cellStyle name="常规 10 3 6 6" xfId="10947"/>
    <cellStyle name="常规 10 3 6 6 2" xfId="10948"/>
    <cellStyle name="常规 10 3 6 7" xfId="10949"/>
    <cellStyle name="常规 10 3 6 7 2" xfId="10950"/>
    <cellStyle name="常规 10 3 6 8" xfId="10951"/>
    <cellStyle name="常规 10 3 6 9" xfId="10952"/>
    <cellStyle name="常规 10 3 7" xfId="10953"/>
    <cellStyle name="常规 10 3 7 2" xfId="10954"/>
    <cellStyle name="常规 10 3 7 2 2" xfId="10955"/>
    <cellStyle name="常规 10 3 7 2 2 2" xfId="10956"/>
    <cellStyle name="常规 10 3 7 2 2 2 2" xfId="10957"/>
    <cellStyle name="常规 10 3 7 2 2 2 3" xfId="10958"/>
    <cellStyle name="常规 10 3 7 2 2 3" xfId="10959"/>
    <cellStyle name="常规 10 3 7 2 2 3 2" xfId="10960"/>
    <cellStyle name="常规 10 3 7 2 2 4" xfId="10961"/>
    <cellStyle name="常规 10 3 7 2 2 4 2" xfId="10962"/>
    <cellStyle name="常规 10 3 7 2 2 5" xfId="10963"/>
    <cellStyle name="常规 10 3 7 2 2 6" xfId="10964"/>
    <cellStyle name="常规 10 3 7 2 2 7" xfId="10965"/>
    <cellStyle name="常规 10 3 7 2 3" xfId="10966"/>
    <cellStyle name="常规 10 3 7 2 3 2" xfId="10967"/>
    <cellStyle name="常规 10 3 7 2 3 3" xfId="10968"/>
    <cellStyle name="常规 10 3 7 2 4" xfId="10969"/>
    <cellStyle name="常规 10 3 7 2 4 2" xfId="10970"/>
    <cellStyle name="常规 10 3 7 2 5" xfId="10971"/>
    <cellStyle name="常规 10 3 7 2 5 2" xfId="10972"/>
    <cellStyle name="常规 10 3 7 2 6" xfId="10973"/>
    <cellStyle name="常规 10 3 7 2 7" xfId="10974"/>
    <cellStyle name="常规 10 3 7 2 8" xfId="10975"/>
    <cellStyle name="常规 10 3 7 3" xfId="10976"/>
    <cellStyle name="常规 10 3 7 3 2" xfId="10977"/>
    <cellStyle name="常规 10 3 7 3 2 2" xfId="10978"/>
    <cellStyle name="常规 10 3 7 3 2 3" xfId="10979"/>
    <cellStyle name="常规 10 3 7 3 3" xfId="10980"/>
    <cellStyle name="常规 10 3 7 3 3 2" xfId="10981"/>
    <cellStyle name="常规 10 3 7 3 4" xfId="10982"/>
    <cellStyle name="常规 10 3 7 3 4 2" xfId="10983"/>
    <cellStyle name="常规 10 3 7 3 5" xfId="10984"/>
    <cellStyle name="常规 10 3 7 3 6" xfId="10985"/>
    <cellStyle name="常规 10 3 7 3 7" xfId="10986"/>
    <cellStyle name="常规 10 3 7 4" xfId="10987"/>
    <cellStyle name="常规 10 3 7 4 2" xfId="10988"/>
    <cellStyle name="常规 10 3 7 4 3" xfId="10989"/>
    <cellStyle name="常规 10 3 7 5" xfId="10990"/>
    <cellStyle name="常规 10 3 7 5 2" xfId="10991"/>
    <cellStyle name="常规 10 3 7 6" xfId="10992"/>
    <cellStyle name="常规 10 3 7 6 2" xfId="10993"/>
    <cellStyle name="常规 10 3 7 7" xfId="10994"/>
    <cellStyle name="常规 10 3 7 8" xfId="10995"/>
    <cellStyle name="常规 10 3 7 9" xfId="10996"/>
    <cellStyle name="常规 10 3 8" xfId="10997"/>
    <cellStyle name="常规 10 3 8 2" xfId="10998"/>
    <cellStyle name="常规 10 3 8 2 2" xfId="10999"/>
    <cellStyle name="常规 10 3 8 2 2 2" xfId="11000"/>
    <cellStyle name="常规 10 3 8 2 2 3" xfId="11001"/>
    <cellStyle name="常规 10 3 8 2 2 4" xfId="11002"/>
    <cellStyle name="常规 10 3 8 2 2 5" xfId="11003"/>
    <cellStyle name="常规 10 3 8 2 2 6" xfId="11004"/>
    <cellStyle name="常规 10 3 8 2 2 7" xfId="11005"/>
    <cellStyle name="常规 10 3 8 2 2 8" xfId="11006"/>
    <cellStyle name="常规 10 3 8 2 3" xfId="11007"/>
    <cellStyle name="常规 10 3 8 2 3 2" xfId="11008"/>
    <cellStyle name="常规 10 3 8 2 4" xfId="11009"/>
    <cellStyle name="常规 10 3 8 2 4 2" xfId="11010"/>
    <cellStyle name="常规 10 3 8 2 5" xfId="11011"/>
    <cellStyle name="常规 10 3 8 2 6" xfId="11012"/>
    <cellStyle name="常规 10 3 8 2 7" xfId="11013"/>
    <cellStyle name="常规 10 3 8 2 8" xfId="11014"/>
    <cellStyle name="常规 10 3 8 3" xfId="11015"/>
    <cellStyle name="常规 10 3 8 3 2" xfId="11016"/>
    <cellStyle name="常规 10 3 8 3 3" xfId="11017"/>
    <cellStyle name="常规 10 3 8 3 4" xfId="11018"/>
    <cellStyle name="常规 10 3 8 3 5" xfId="11019"/>
    <cellStyle name="常规 10 3 8 3 6" xfId="11020"/>
    <cellStyle name="常规 10 3 8 3 7" xfId="11021"/>
    <cellStyle name="常规 10 3 8 3 8" xfId="11022"/>
    <cellStyle name="常规 10 3 8 4" xfId="11023"/>
    <cellStyle name="常规 10 3 8 4 2" xfId="11024"/>
    <cellStyle name="常规 10 3 8 5" xfId="11025"/>
    <cellStyle name="常规 10 3 8 5 2" xfId="11026"/>
    <cellStyle name="常规 10 3 8 6" xfId="11027"/>
    <cellStyle name="常规 10 3 8 7" xfId="11028"/>
    <cellStyle name="常规 10 3 8 8" xfId="11029"/>
    <cellStyle name="常规 10 3 8 9" xfId="11030"/>
    <cellStyle name="常规 10 3 9" xfId="11031"/>
    <cellStyle name="常规 10 3 9 2" xfId="11032"/>
    <cellStyle name="常规 10 3 9 2 2" xfId="11033"/>
    <cellStyle name="常规 10 3 9 2 2 2" xfId="11034"/>
    <cellStyle name="常规 10 3 9 2 3" xfId="11035"/>
    <cellStyle name="常规 10 3 9 2 4" xfId="11036"/>
    <cellStyle name="常规 10 3 9 3" xfId="11037"/>
    <cellStyle name="常规 10 3 9 3 2" xfId="11038"/>
    <cellStyle name="常规 10 3 9 4" xfId="11039"/>
    <cellStyle name="常规 10 3 9 5" xfId="11040"/>
    <cellStyle name="常规 10 4" xfId="11041"/>
    <cellStyle name="常规 10 4 10" xfId="11042"/>
    <cellStyle name="常规 10 4 10 2" xfId="11043"/>
    <cellStyle name="常规 10 4 10 2 2" xfId="11044"/>
    <cellStyle name="常规 10 4 10 3" xfId="11045"/>
    <cellStyle name="常规 10 4 10 4" xfId="11046"/>
    <cellStyle name="常规 10 4 11" xfId="11047"/>
    <cellStyle name="常规 10 4 11 2" xfId="11048"/>
    <cellStyle name="常规 10 4 12" xfId="11049"/>
    <cellStyle name="常规 10 4 13" xfId="11050"/>
    <cellStyle name="常规 10 4 14" xfId="11051"/>
    <cellStyle name="常规 10 4 2" xfId="11052"/>
    <cellStyle name="常规 10 4 2 10" xfId="11053"/>
    <cellStyle name="常规 10 4 2 2" xfId="11054"/>
    <cellStyle name="常规 10 4 2 2 2" xfId="11055"/>
    <cellStyle name="常规 10 4 2 2 2 2" xfId="11056"/>
    <cellStyle name="常规 10 4 2 2 2 2 2" xfId="11057"/>
    <cellStyle name="常规 10 4 2 2 2 2 2 2" xfId="11058"/>
    <cellStyle name="常规 10 4 2 2 2 2 2 2 2" xfId="11059"/>
    <cellStyle name="常规 10 4 2 2 2 2 2 3" xfId="11060"/>
    <cellStyle name="常规 10 4 2 2 2 2 2 4" xfId="11061"/>
    <cellStyle name="常规 10 4 2 2 2 2 2 5" xfId="11062"/>
    <cellStyle name="常规 10 4 2 2 2 2 3" xfId="11063"/>
    <cellStyle name="常规 10 4 2 2 2 2 3 2" xfId="11064"/>
    <cellStyle name="常规 10 4 2 2 2 2 3 3" xfId="11065"/>
    <cellStyle name="常规 10 4 2 2 2 2 4" xfId="11066"/>
    <cellStyle name="常规 10 4 2 2 2 2 4 2" xfId="11067"/>
    <cellStyle name="常规 10 4 2 2 2 2 5" xfId="11068"/>
    <cellStyle name="常规 10 4 2 2 2 2 5 2" xfId="11069"/>
    <cellStyle name="常规 10 4 2 2 2 2 6" xfId="11070"/>
    <cellStyle name="常规 10 4 2 2 2 2 7" xfId="11071"/>
    <cellStyle name="常规 10 4 2 2 2 3" xfId="11072"/>
    <cellStyle name="常规 10 4 2 2 2 3 2" xfId="11073"/>
    <cellStyle name="常规 10 4 2 2 2 3 2 2" xfId="11074"/>
    <cellStyle name="常规 10 4 2 2 2 3 3" xfId="11075"/>
    <cellStyle name="常规 10 4 2 2 2 3 4" xfId="11076"/>
    <cellStyle name="常规 10 4 2 2 2 3 5" xfId="11077"/>
    <cellStyle name="常规 10 4 2 2 2 4" xfId="11078"/>
    <cellStyle name="常规 10 4 2 2 2 4 2" xfId="11079"/>
    <cellStyle name="常规 10 4 2 2 2 4 3" xfId="11080"/>
    <cellStyle name="常规 10 4 2 2 2 5" xfId="11081"/>
    <cellStyle name="常规 10 4 2 2 2 5 2" xfId="11082"/>
    <cellStyle name="常规 10 4 2 2 2 6" xfId="11083"/>
    <cellStyle name="常规 10 4 2 2 2 6 2" xfId="11084"/>
    <cellStyle name="常规 10 4 2 2 2 7" xfId="11085"/>
    <cellStyle name="常规 10 4 2 2 2 8" xfId="11086"/>
    <cellStyle name="常规 10 4 2 2 3" xfId="11087"/>
    <cellStyle name="常规 10 4 2 2 3 2" xfId="11088"/>
    <cellStyle name="常规 10 4 2 2 3 2 2" xfId="11089"/>
    <cellStyle name="常规 10 4 2 2 3 2 2 2" xfId="11090"/>
    <cellStyle name="常规 10 4 2 2 3 2 3" xfId="11091"/>
    <cellStyle name="常规 10 4 2 2 3 2 4" xfId="11092"/>
    <cellStyle name="常规 10 4 2 2 3 2 5" xfId="11093"/>
    <cellStyle name="常规 10 4 2 2 3 3" xfId="11094"/>
    <cellStyle name="常规 10 4 2 2 3 3 2" xfId="11095"/>
    <cellStyle name="常规 10 4 2 2 3 3 3" xfId="11096"/>
    <cellStyle name="常规 10 4 2 2 3 4" xfId="11097"/>
    <cellStyle name="常规 10 4 2 2 3 4 2" xfId="11098"/>
    <cellStyle name="常规 10 4 2 2 3 5" xfId="11099"/>
    <cellStyle name="常规 10 4 2 2 3 5 2" xfId="11100"/>
    <cellStyle name="常规 10 4 2 2 3 6" xfId="11101"/>
    <cellStyle name="常规 10 4 2 2 3 7" xfId="11102"/>
    <cellStyle name="常规 10 4 2 2 4" xfId="11103"/>
    <cellStyle name="常规 10 4 2 2 4 2" xfId="11104"/>
    <cellStyle name="常规 10 4 2 2 4 2 2" xfId="11105"/>
    <cellStyle name="常规 10 4 2 2 4 3" xfId="11106"/>
    <cellStyle name="常规 10 4 2 2 4 4" xfId="11107"/>
    <cellStyle name="常规 10 4 2 2 4 5" xfId="11108"/>
    <cellStyle name="常规 10 4 2 2 5" xfId="11109"/>
    <cellStyle name="常规 10 4 2 2 5 2" xfId="11110"/>
    <cellStyle name="常规 10 4 2 2 5 2 2" xfId="11111"/>
    <cellStyle name="常规 10 4 2 2 5 3" xfId="11112"/>
    <cellStyle name="常规 10 4 2 2 5 4" xfId="11113"/>
    <cellStyle name="常规 10 4 2 2 5 5" xfId="11114"/>
    <cellStyle name="常规 10 4 2 2 6" xfId="11115"/>
    <cellStyle name="常规 10 4 2 2 6 2" xfId="11116"/>
    <cellStyle name="常规 10 4 2 2 6 3" xfId="11117"/>
    <cellStyle name="常规 10 4 2 2 7" xfId="11118"/>
    <cellStyle name="常规 10 4 2 2 7 2" xfId="11119"/>
    <cellStyle name="常规 10 4 2 2 8" xfId="11120"/>
    <cellStyle name="常规 10 4 2 2 8 2" xfId="11121"/>
    <cellStyle name="常规 10 4 2 2 9" xfId="11122"/>
    <cellStyle name="常规 10 4 2 3" xfId="11123"/>
    <cellStyle name="常规 10 4 2 3 2" xfId="11124"/>
    <cellStyle name="常规 10 4 2 3 2 2" xfId="11125"/>
    <cellStyle name="常规 10 4 2 3 2 2 2" xfId="11126"/>
    <cellStyle name="常规 10 4 2 3 2 2 2 2" xfId="11127"/>
    <cellStyle name="常规 10 4 2 3 2 2 3" xfId="11128"/>
    <cellStyle name="常规 10 4 2 3 2 2 4" xfId="11129"/>
    <cellStyle name="常规 10 4 2 3 2 2 5" xfId="11130"/>
    <cellStyle name="常规 10 4 2 3 2 3" xfId="11131"/>
    <cellStyle name="常规 10 4 2 3 2 3 2" xfId="11132"/>
    <cellStyle name="常规 10 4 2 3 2 3 3" xfId="11133"/>
    <cellStyle name="常规 10 4 2 3 2 4" xfId="11134"/>
    <cellStyle name="常规 10 4 2 3 2 4 2" xfId="11135"/>
    <cellStyle name="常规 10 4 2 3 2 5" xfId="11136"/>
    <cellStyle name="常规 10 4 2 3 2 5 2" xfId="11137"/>
    <cellStyle name="常规 10 4 2 3 2 6" xfId="11138"/>
    <cellStyle name="常规 10 4 2 3 2 7" xfId="11139"/>
    <cellStyle name="常规 10 4 2 3 3" xfId="11140"/>
    <cellStyle name="常规 10 4 2 3 3 2" xfId="11141"/>
    <cellStyle name="常规 10 4 2 3 3 2 2" xfId="11142"/>
    <cellStyle name="常规 10 4 2 3 3 3" xfId="11143"/>
    <cellStyle name="常规 10 4 2 3 3 4" xfId="11144"/>
    <cellStyle name="常规 10 4 2 3 3 5" xfId="11145"/>
    <cellStyle name="常规 10 4 2 3 4" xfId="11146"/>
    <cellStyle name="常规 10 4 2 3 4 2" xfId="11147"/>
    <cellStyle name="常规 10 4 2 3 4 3" xfId="11148"/>
    <cellStyle name="常规 10 4 2 3 5" xfId="11149"/>
    <cellStyle name="常规 10 4 2 3 5 2" xfId="11150"/>
    <cellStyle name="常规 10 4 2 3 6" xfId="11151"/>
    <cellStyle name="常规 10 4 2 3 6 2" xfId="11152"/>
    <cellStyle name="常规 10 4 2 3 7" xfId="11153"/>
    <cellStyle name="常规 10 4 2 3 8" xfId="11154"/>
    <cellStyle name="常规 10 4 2 4" xfId="11155"/>
    <cellStyle name="常规 10 4 2 4 2" xfId="11156"/>
    <cellStyle name="常规 10 4 2 4 2 2" xfId="11157"/>
    <cellStyle name="常规 10 4 2 4 2 2 2" xfId="11158"/>
    <cellStyle name="常规 10 4 2 4 2 3" xfId="11159"/>
    <cellStyle name="常规 10 4 2 4 2 4" xfId="11160"/>
    <cellStyle name="常规 10 4 2 4 2 5" xfId="11161"/>
    <cellStyle name="常规 10 4 2 4 3" xfId="11162"/>
    <cellStyle name="常规 10 4 2 4 3 2" xfId="11163"/>
    <cellStyle name="常规 10 4 2 4 3 3" xfId="11164"/>
    <cellStyle name="常规 10 4 2 4 4" xfId="11165"/>
    <cellStyle name="常规 10 4 2 4 4 2" xfId="11166"/>
    <cellStyle name="常规 10 4 2 4 5" xfId="11167"/>
    <cellStyle name="常规 10 4 2 4 5 2" xfId="11168"/>
    <cellStyle name="常规 10 4 2 4 6" xfId="11169"/>
    <cellStyle name="常规 10 4 2 4 7" xfId="11170"/>
    <cellStyle name="常规 10 4 2 5" xfId="11171"/>
    <cellStyle name="常规 10 4 2 5 2" xfId="11172"/>
    <cellStyle name="常规 10 4 2 5 2 2" xfId="11173"/>
    <cellStyle name="常规 10 4 2 5 3" xfId="11174"/>
    <cellStyle name="常规 10 4 2 5 4" xfId="11175"/>
    <cellStyle name="常规 10 4 2 5 5" xfId="11176"/>
    <cellStyle name="常规 10 4 2 6" xfId="11177"/>
    <cellStyle name="常规 10 4 2 6 2" xfId="11178"/>
    <cellStyle name="常规 10 4 2 6 2 2" xfId="11179"/>
    <cellStyle name="常规 10 4 2 6 3" xfId="11180"/>
    <cellStyle name="常规 10 4 2 6 4" xfId="11181"/>
    <cellStyle name="常规 10 4 2 6 5" xfId="11182"/>
    <cellStyle name="常规 10 4 2 7" xfId="11183"/>
    <cellStyle name="常规 10 4 2 7 2" xfId="11184"/>
    <cellStyle name="常规 10 4 2 7 3" xfId="11185"/>
    <cellStyle name="常规 10 4 2 8" xfId="11186"/>
    <cellStyle name="常规 10 4 2 8 2" xfId="11187"/>
    <cellStyle name="常规 10 4 2 9" xfId="11188"/>
    <cellStyle name="常规 10 4 2 9 2" xfId="11189"/>
    <cellStyle name="常规 10 4 3" xfId="11190"/>
    <cellStyle name="常规 10 4 3 10" xfId="11191"/>
    <cellStyle name="常规 10 4 3 2" xfId="11192"/>
    <cellStyle name="常规 10 4 3 2 2" xfId="11193"/>
    <cellStyle name="常规 10 4 3 2 2 2" xfId="11194"/>
    <cellStyle name="常规 10 4 3 2 2 2 2" xfId="11195"/>
    <cellStyle name="常规 10 4 3 2 2 2 2 2" xfId="11196"/>
    <cellStyle name="常规 10 4 3 2 2 2 2 3" xfId="11197"/>
    <cellStyle name="常规 10 4 3 2 2 2 3" xfId="11198"/>
    <cellStyle name="常规 10 4 3 2 2 2 3 2" xfId="11199"/>
    <cellStyle name="常规 10 4 3 2 2 2 4" xfId="11200"/>
    <cellStyle name="常规 10 4 3 2 2 2 4 2" xfId="11201"/>
    <cellStyle name="常规 10 4 3 2 2 2 5" xfId="11202"/>
    <cellStyle name="常规 10 4 3 2 2 2 6" xfId="11203"/>
    <cellStyle name="常规 10 4 3 2 2 2 7" xfId="11204"/>
    <cellStyle name="常规 10 4 3 2 2 3" xfId="11205"/>
    <cellStyle name="常规 10 4 3 2 2 3 2" xfId="11206"/>
    <cellStyle name="常规 10 4 3 2 2 3 3" xfId="11207"/>
    <cellStyle name="常规 10 4 3 2 2 4" xfId="11208"/>
    <cellStyle name="常规 10 4 3 2 2 4 2" xfId="11209"/>
    <cellStyle name="常规 10 4 3 2 2 5" xfId="11210"/>
    <cellStyle name="常规 10 4 3 2 2 5 2" xfId="11211"/>
    <cellStyle name="常规 10 4 3 2 2 6" xfId="11212"/>
    <cellStyle name="常规 10 4 3 2 2 7" xfId="11213"/>
    <cellStyle name="常规 10 4 3 2 2 8" xfId="11214"/>
    <cellStyle name="常规 10 4 3 2 3" xfId="11215"/>
    <cellStyle name="常规 10 4 3 2 3 2" xfId="11216"/>
    <cellStyle name="常规 10 4 3 2 3 2 2" xfId="11217"/>
    <cellStyle name="常规 10 4 3 2 3 2 3" xfId="11218"/>
    <cellStyle name="常规 10 4 3 2 3 3" xfId="11219"/>
    <cellStyle name="常规 10 4 3 2 3 3 2" xfId="11220"/>
    <cellStyle name="常规 10 4 3 2 3 4" xfId="11221"/>
    <cellStyle name="常规 10 4 3 2 3 4 2" xfId="11222"/>
    <cellStyle name="常规 10 4 3 2 3 5" xfId="11223"/>
    <cellStyle name="常规 10 4 3 2 3 6" xfId="11224"/>
    <cellStyle name="常规 10 4 3 2 3 7" xfId="11225"/>
    <cellStyle name="常规 10 4 3 2 4" xfId="11226"/>
    <cellStyle name="常规 10 4 3 2 4 2" xfId="11227"/>
    <cellStyle name="常规 10 4 3 2 4 3" xfId="11228"/>
    <cellStyle name="常规 10 4 3 2 5" xfId="11229"/>
    <cellStyle name="常规 10 4 3 2 5 2" xfId="11230"/>
    <cellStyle name="常规 10 4 3 2 6" xfId="11231"/>
    <cellStyle name="常规 10 4 3 2 6 2" xfId="11232"/>
    <cellStyle name="常规 10 4 3 2 7" xfId="11233"/>
    <cellStyle name="常规 10 4 3 2 8" xfId="11234"/>
    <cellStyle name="常规 10 4 3 2 9" xfId="11235"/>
    <cellStyle name="常规 10 4 3 3" xfId="11236"/>
    <cellStyle name="常规 10 4 3 3 2" xfId="11237"/>
    <cellStyle name="常规 10 4 3 3 2 2" xfId="11238"/>
    <cellStyle name="常规 10 4 3 3 2 2 2" xfId="11239"/>
    <cellStyle name="常规 10 4 3 3 2 2 3" xfId="11240"/>
    <cellStyle name="常规 10 4 3 3 2 3" xfId="11241"/>
    <cellStyle name="常规 10 4 3 3 2 3 2" xfId="11242"/>
    <cellStyle name="常规 10 4 3 3 2 4" xfId="11243"/>
    <cellStyle name="常规 10 4 3 3 2 4 2" xfId="11244"/>
    <cellStyle name="常规 10 4 3 3 2 5" xfId="11245"/>
    <cellStyle name="常规 10 4 3 3 2 6" xfId="11246"/>
    <cellStyle name="常规 10 4 3 3 2 7" xfId="11247"/>
    <cellStyle name="常规 10 4 3 3 3" xfId="11248"/>
    <cellStyle name="常规 10 4 3 3 3 2" xfId="11249"/>
    <cellStyle name="常规 10 4 3 3 3 3" xfId="11250"/>
    <cellStyle name="常规 10 4 3 3 4" xfId="11251"/>
    <cellStyle name="常规 10 4 3 3 4 2" xfId="11252"/>
    <cellStyle name="常规 10 4 3 3 5" xfId="11253"/>
    <cellStyle name="常规 10 4 3 3 5 2" xfId="11254"/>
    <cellStyle name="常规 10 4 3 3 6" xfId="11255"/>
    <cellStyle name="常规 10 4 3 3 7" xfId="11256"/>
    <cellStyle name="常规 10 4 3 3 8" xfId="11257"/>
    <cellStyle name="常规 10 4 3 4" xfId="11258"/>
    <cellStyle name="常规 10 4 3 4 2" xfId="11259"/>
    <cellStyle name="常规 10 4 3 4 2 2" xfId="11260"/>
    <cellStyle name="常规 10 4 3 4 2 3" xfId="11261"/>
    <cellStyle name="常规 10 4 3 4 3" xfId="11262"/>
    <cellStyle name="常规 10 4 3 4 3 2" xfId="11263"/>
    <cellStyle name="常规 10 4 3 4 4" xfId="11264"/>
    <cellStyle name="常规 10 4 3 4 4 2" xfId="11265"/>
    <cellStyle name="常规 10 4 3 4 5" xfId="11266"/>
    <cellStyle name="常规 10 4 3 4 6" xfId="11267"/>
    <cellStyle name="常规 10 4 3 4 7" xfId="11268"/>
    <cellStyle name="常规 10 4 3 5" xfId="11269"/>
    <cellStyle name="常规 10 4 3 5 2" xfId="11270"/>
    <cellStyle name="常规 10 4 3 5 2 2" xfId="11271"/>
    <cellStyle name="常规 10 4 3 5 3" xfId="11272"/>
    <cellStyle name="常规 10 4 3 5 4" xfId="11273"/>
    <cellStyle name="常规 10 4 3 5 5" xfId="11274"/>
    <cellStyle name="常规 10 4 3 6" xfId="11275"/>
    <cellStyle name="常规 10 4 3 6 2" xfId="11276"/>
    <cellStyle name="常规 10 4 3 6 3" xfId="11277"/>
    <cellStyle name="常规 10 4 3 7" xfId="11278"/>
    <cellStyle name="常规 10 4 3 7 2" xfId="11279"/>
    <cellStyle name="常规 10 4 3 8" xfId="11280"/>
    <cellStyle name="常规 10 4 3 8 2" xfId="11281"/>
    <cellStyle name="常规 10 4 3 9" xfId="11282"/>
    <cellStyle name="常规 10 4 4" xfId="11283"/>
    <cellStyle name="常规 10 4 4 2" xfId="11284"/>
    <cellStyle name="常规 10 4 4 2 2" xfId="11285"/>
    <cellStyle name="常规 10 4 4 2 2 2" xfId="11286"/>
    <cellStyle name="常规 10 4 4 2 2 2 2" xfId="11287"/>
    <cellStyle name="常规 10 4 4 2 2 2 2 2" xfId="11288"/>
    <cellStyle name="常规 10 4 4 2 2 2 3" xfId="11289"/>
    <cellStyle name="常规 10 4 4 2 2 2 4" xfId="11290"/>
    <cellStyle name="常规 10 4 4 2 2 3" xfId="11291"/>
    <cellStyle name="常规 10 4 4 2 2 3 2" xfId="11292"/>
    <cellStyle name="常规 10 4 4 2 2 4" xfId="11293"/>
    <cellStyle name="常规 10 4 4 2 2 5" xfId="11294"/>
    <cellStyle name="常规 10 4 4 2 3" xfId="11295"/>
    <cellStyle name="常规 10 4 4 2 3 2" xfId="11296"/>
    <cellStyle name="常规 10 4 4 2 3 2 2" xfId="11297"/>
    <cellStyle name="常规 10 4 4 2 3 3" xfId="11298"/>
    <cellStyle name="常规 10 4 4 2 3 4" xfId="11299"/>
    <cellStyle name="常规 10 4 4 2 4" xfId="11300"/>
    <cellStyle name="常规 10 4 4 2 4 2" xfId="11301"/>
    <cellStyle name="常规 10 4 4 2 5" xfId="11302"/>
    <cellStyle name="常规 10 4 4 2 6" xfId="11303"/>
    <cellStyle name="常规 10 4 4 3" xfId="11304"/>
    <cellStyle name="常规 10 4 4 3 2" xfId="11305"/>
    <cellStyle name="常规 10 4 4 3 2 2" xfId="11306"/>
    <cellStyle name="常规 10 4 4 3 2 2 2" xfId="11307"/>
    <cellStyle name="常规 10 4 4 3 2 3" xfId="11308"/>
    <cellStyle name="常规 10 4 4 3 2 4" xfId="11309"/>
    <cellStyle name="常规 10 4 4 3 3" xfId="11310"/>
    <cellStyle name="常规 10 4 4 3 3 2" xfId="11311"/>
    <cellStyle name="常规 10 4 4 3 4" xfId="11312"/>
    <cellStyle name="常规 10 4 4 3 5" xfId="11313"/>
    <cellStyle name="常规 10 4 4 4" xfId="11314"/>
    <cellStyle name="常规 10 4 4 4 2" xfId="11315"/>
    <cellStyle name="常规 10 4 4 4 2 2" xfId="11316"/>
    <cellStyle name="常规 10 4 4 4 3" xfId="11317"/>
    <cellStyle name="常规 10 4 4 4 4" xfId="11318"/>
    <cellStyle name="常规 10 4 4 5" xfId="11319"/>
    <cellStyle name="常规 10 4 4 5 2" xfId="11320"/>
    <cellStyle name="常规 10 4 4 6" xfId="11321"/>
    <cellStyle name="常规 10 4 4 7" xfId="11322"/>
    <cellStyle name="常规 10 4 4 8" xfId="11323"/>
    <cellStyle name="常规 10 4 5" xfId="11324"/>
    <cellStyle name="常规 10 4 5 2" xfId="11325"/>
    <cellStyle name="常规 10 4 5 2 2" xfId="11326"/>
    <cellStyle name="常规 10 4 5 2 2 2" xfId="11327"/>
    <cellStyle name="常规 10 4 5 2 2 2 2" xfId="11328"/>
    <cellStyle name="常规 10 4 5 2 2 2 2 2" xfId="11329"/>
    <cellStyle name="常规 10 4 5 2 2 2 3" xfId="11330"/>
    <cellStyle name="常规 10 4 5 2 2 2 4" xfId="11331"/>
    <cellStyle name="常规 10 4 5 2 2 3" xfId="11332"/>
    <cellStyle name="常规 10 4 5 2 2 3 2" xfId="11333"/>
    <cellStyle name="常规 10 4 5 2 2 4" xfId="11334"/>
    <cellStyle name="常规 10 4 5 2 2 5" xfId="11335"/>
    <cellStyle name="常规 10 4 5 2 3" xfId="11336"/>
    <cellStyle name="常规 10 4 5 2 3 2" xfId="11337"/>
    <cellStyle name="常规 10 4 5 2 3 2 2" xfId="11338"/>
    <cellStyle name="常规 10 4 5 2 3 3" xfId="11339"/>
    <cellStyle name="常规 10 4 5 2 3 4" xfId="11340"/>
    <cellStyle name="常规 10 4 5 2 4" xfId="11341"/>
    <cellStyle name="常规 10 4 5 2 4 2" xfId="11342"/>
    <cellStyle name="常规 10 4 5 2 5" xfId="11343"/>
    <cellStyle name="常规 10 4 5 2 6" xfId="11344"/>
    <cellStyle name="常规 10 4 5 3" xfId="11345"/>
    <cellStyle name="常规 10 4 5 3 2" xfId="11346"/>
    <cellStyle name="常规 10 4 5 3 2 2" xfId="11347"/>
    <cellStyle name="常规 10 4 5 3 2 2 2" xfId="11348"/>
    <cellStyle name="常规 10 4 5 3 2 3" xfId="11349"/>
    <cellStyle name="常规 10 4 5 3 2 4" xfId="11350"/>
    <cellStyle name="常规 10 4 5 3 3" xfId="11351"/>
    <cellStyle name="常规 10 4 5 3 3 2" xfId="11352"/>
    <cellStyle name="常规 10 4 5 3 4" xfId="11353"/>
    <cellStyle name="常规 10 4 5 3 5" xfId="11354"/>
    <cellStyle name="常规 10 4 5 4" xfId="11355"/>
    <cellStyle name="常规 10 4 5 4 2" xfId="11356"/>
    <cellStyle name="常规 10 4 5 4 2 2" xfId="11357"/>
    <cellStyle name="常规 10 4 5 4 3" xfId="11358"/>
    <cellStyle name="常规 10 4 5 4 4" xfId="11359"/>
    <cellStyle name="常规 10 4 5 5" xfId="11360"/>
    <cellStyle name="常规 10 4 5 5 2" xfId="11361"/>
    <cellStyle name="常规 10 4 5 6" xfId="11362"/>
    <cellStyle name="常规 10 4 5 7" xfId="11363"/>
    <cellStyle name="常规 10 4 6" xfId="11364"/>
    <cellStyle name="常规 10 4 6 2" xfId="11365"/>
    <cellStyle name="常规 10 4 6 2 2" xfId="11366"/>
    <cellStyle name="常规 10 4 6 2 2 2" xfId="11367"/>
    <cellStyle name="常规 10 4 6 2 2 2 2" xfId="11368"/>
    <cellStyle name="常规 10 4 6 2 2 3" xfId="11369"/>
    <cellStyle name="常规 10 4 6 2 2 4" xfId="11370"/>
    <cellStyle name="常规 10 4 6 2 3" xfId="11371"/>
    <cellStyle name="常规 10 4 6 2 3 2" xfId="11372"/>
    <cellStyle name="常规 10 4 6 2 4" xfId="11373"/>
    <cellStyle name="常规 10 4 6 2 5" xfId="11374"/>
    <cellStyle name="常规 10 4 6 3" xfId="11375"/>
    <cellStyle name="常规 10 4 6 3 2" xfId="11376"/>
    <cellStyle name="常规 10 4 6 3 2 2" xfId="11377"/>
    <cellStyle name="常规 10 4 6 3 3" xfId="11378"/>
    <cellStyle name="常规 10 4 6 3 4" xfId="11379"/>
    <cellStyle name="常规 10 4 6 4" xfId="11380"/>
    <cellStyle name="常规 10 4 6 4 2" xfId="11381"/>
    <cellStyle name="常规 10 4 6 5" xfId="11382"/>
    <cellStyle name="常规 10 4 6 6" xfId="11383"/>
    <cellStyle name="常规 10 4 7" xfId="11384"/>
    <cellStyle name="常规 10 4 7 2" xfId="11385"/>
    <cellStyle name="常规 10 4 7 2 2" xfId="11386"/>
    <cellStyle name="常规 10 4 7 2 2 2" xfId="11387"/>
    <cellStyle name="常规 10 4 7 2 3" xfId="11388"/>
    <cellStyle name="常规 10 4 7 2 4" xfId="11389"/>
    <cellStyle name="常规 10 4 7 3" xfId="11390"/>
    <cellStyle name="常规 10 4 7 3 2" xfId="11391"/>
    <cellStyle name="常规 10 4 7 4" xfId="11392"/>
    <cellStyle name="常规 10 4 7 5" xfId="11393"/>
    <cellStyle name="常规 10 4 8" xfId="11394"/>
    <cellStyle name="常规 10 4 8 2" xfId="11395"/>
    <cellStyle name="常规 10 4 8 2 2" xfId="11396"/>
    <cellStyle name="常规 10 4 8 2 2 2" xfId="11397"/>
    <cellStyle name="常规 10 4 8 2 3" xfId="11398"/>
    <cellStyle name="常规 10 4 8 2 4" xfId="11399"/>
    <cellStyle name="常规 10 4 8 3" xfId="11400"/>
    <cellStyle name="常规 10 4 8 3 2" xfId="11401"/>
    <cellStyle name="常规 10 4 8 4" xfId="11402"/>
    <cellStyle name="常规 10 4 8 5" xfId="11403"/>
    <cellStyle name="常规 10 4 9" xfId="11404"/>
    <cellStyle name="常规 10 4 9 2" xfId="11405"/>
    <cellStyle name="常规 10 4 9 2 2" xfId="11406"/>
    <cellStyle name="常规 10 4 9 3" xfId="11407"/>
    <cellStyle name="常规 10 4 9 4" xfId="11408"/>
    <cellStyle name="常规 10 5" xfId="11409"/>
    <cellStyle name="常规 10 5 10" xfId="11410"/>
    <cellStyle name="常规 10 5 2" xfId="11411"/>
    <cellStyle name="常规 10 5 2 2" xfId="11412"/>
    <cellStyle name="常规 10 5 2 2 2" xfId="11413"/>
    <cellStyle name="常规 10 5 2 2 2 2" xfId="11414"/>
    <cellStyle name="常规 10 5 2 2 2 2 2" xfId="11415"/>
    <cellStyle name="常规 10 5 2 2 2 2 2 2" xfId="11416"/>
    <cellStyle name="常规 10 5 2 2 2 2 3" xfId="11417"/>
    <cellStyle name="常规 10 5 2 2 2 2 4" xfId="11418"/>
    <cellStyle name="常规 10 5 2 2 2 2 5" xfId="11419"/>
    <cellStyle name="常规 10 5 2 2 2 3" xfId="11420"/>
    <cellStyle name="常规 10 5 2 2 2 3 2" xfId="11421"/>
    <cellStyle name="常规 10 5 2 2 2 3 3" xfId="11422"/>
    <cellStyle name="常规 10 5 2 2 2 4" xfId="11423"/>
    <cellStyle name="常规 10 5 2 2 2 4 2" xfId="11424"/>
    <cellStyle name="常规 10 5 2 2 2 5" xfId="11425"/>
    <cellStyle name="常规 10 5 2 2 2 5 2" xfId="11426"/>
    <cellStyle name="常规 10 5 2 2 2 6" xfId="11427"/>
    <cellStyle name="常规 10 5 2 2 2 7" xfId="11428"/>
    <cellStyle name="常规 10 5 2 2 3" xfId="11429"/>
    <cellStyle name="常规 10 5 2 2 3 2" xfId="11430"/>
    <cellStyle name="常规 10 5 2 2 3 2 2" xfId="11431"/>
    <cellStyle name="常规 10 5 2 2 3 3" xfId="11432"/>
    <cellStyle name="常规 10 5 2 2 3 4" xfId="11433"/>
    <cellStyle name="常规 10 5 2 2 3 5" xfId="11434"/>
    <cellStyle name="常规 10 5 2 2 4" xfId="11435"/>
    <cellStyle name="常规 10 5 2 2 4 2" xfId="11436"/>
    <cellStyle name="常规 10 5 2 2 4 3" xfId="11437"/>
    <cellStyle name="常规 10 5 2 2 5" xfId="11438"/>
    <cellStyle name="常规 10 5 2 2 5 2" xfId="11439"/>
    <cellStyle name="常规 10 5 2 2 6" xfId="11440"/>
    <cellStyle name="常规 10 5 2 2 6 2" xfId="11441"/>
    <cellStyle name="常规 10 5 2 2 7" xfId="11442"/>
    <cellStyle name="常规 10 5 2 2 8" xfId="11443"/>
    <cellStyle name="常规 10 5 2 3" xfId="11444"/>
    <cellStyle name="常规 10 5 2 3 2" xfId="11445"/>
    <cellStyle name="常规 10 5 2 3 2 2" xfId="11446"/>
    <cellStyle name="常规 10 5 2 3 2 2 2" xfId="11447"/>
    <cellStyle name="常规 10 5 2 3 2 3" xfId="11448"/>
    <cellStyle name="常规 10 5 2 3 2 4" xfId="11449"/>
    <cellStyle name="常规 10 5 2 3 2 5" xfId="11450"/>
    <cellStyle name="常规 10 5 2 3 3" xfId="11451"/>
    <cellStyle name="常规 10 5 2 3 3 2" xfId="11452"/>
    <cellStyle name="常规 10 5 2 3 3 3" xfId="11453"/>
    <cellStyle name="常规 10 5 2 3 4" xfId="11454"/>
    <cellStyle name="常规 10 5 2 3 4 2" xfId="11455"/>
    <cellStyle name="常规 10 5 2 3 5" xfId="11456"/>
    <cellStyle name="常规 10 5 2 3 5 2" xfId="11457"/>
    <cellStyle name="常规 10 5 2 3 6" xfId="11458"/>
    <cellStyle name="常规 10 5 2 3 7" xfId="11459"/>
    <cellStyle name="常规 10 5 2 4" xfId="11460"/>
    <cellStyle name="常规 10 5 2 4 2" xfId="11461"/>
    <cellStyle name="常规 10 5 2 4 2 2" xfId="11462"/>
    <cellStyle name="常规 10 5 2 4 3" xfId="11463"/>
    <cellStyle name="常规 10 5 2 4 4" xfId="11464"/>
    <cellStyle name="常规 10 5 2 4 5" xfId="11465"/>
    <cellStyle name="常规 10 5 2 5" xfId="11466"/>
    <cellStyle name="常规 10 5 2 5 2" xfId="11467"/>
    <cellStyle name="常规 10 5 2 5 2 2" xfId="11468"/>
    <cellStyle name="常规 10 5 2 5 3" xfId="11469"/>
    <cellStyle name="常规 10 5 2 5 4" xfId="11470"/>
    <cellStyle name="常规 10 5 2 5 5" xfId="11471"/>
    <cellStyle name="常规 10 5 2 6" xfId="11472"/>
    <cellStyle name="常规 10 5 2 6 2" xfId="11473"/>
    <cellStyle name="常规 10 5 2 6 3" xfId="11474"/>
    <cellStyle name="常规 10 5 2 7" xfId="11475"/>
    <cellStyle name="常规 10 5 2 7 2" xfId="11476"/>
    <cellStyle name="常规 10 5 2 8" xfId="11477"/>
    <cellStyle name="常规 10 5 2 8 2" xfId="11478"/>
    <cellStyle name="常规 10 5 2 9" xfId="11479"/>
    <cellStyle name="常规 10 5 3" xfId="11480"/>
    <cellStyle name="常规 10 5 3 2" xfId="11481"/>
    <cellStyle name="常规 10 5 3 2 2" xfId="11482"/>
    <cellStyle name="常规 10 5 3 2 2 2" xfId="11483"/>
    <cellStyle name="常规 10 5 3 2 2 2 2" xfId="11484"/>
    <cellStyle name="常规 10 5 3 2 2 3" xfId="11485"/>
    <cellStyle name="常规 10 5 3 2 2 4" xfId="11486"/>
    <cellStyle name="常规 10 5 3 2 2 5" xfId="11487"/>
    <cellStyle name="常规 10 5 3 2 3" xfId="11488"/>
    <cellStyle name="常规 10 5 3 2 3 2" xfId="11489"/>
    <cellStyle name="常规 10 5 3 2 3 3" xfId="11490"/>
    <cellStyle name="常规 10 5 3 2 4" xfId="11491"/>
    <cellStyle name="常规 10 5 3 2 4 2" xfId="11492"/>
    <cellStyle name="常规 10 5 3 2 5" xfId="11493"/>
    <cellStyle name="常规 10 5 3 2 5 2" xfId="11494"/>
    <cellStyle name="常规 10 5 3 2 6" xfId="11495"/>
    <cellStyle name="常规 10 5 3 2 7" xfId="11496"/>
    <cellStyle name="常规 10 5 3 3" xfId="11497"/>
    <cellStyle name="常规 10 5 3 3 2" xfId="11498"/>
    <cellStyle name="常规 10 5 3 3 2 2" xfId="11499"/>
    <cellStyle name="常规 10 5 3 3 3" xfId="11500"/>
    <cellStyle name="常规 10 5 3 3 4" xfId="11501"/>
    <cellStyle name="常规 10 5 3 3 5" xfId="11502"/>
    <cellStyle name="常规 10 5 3 4" xfId="11503"/>
    <cellStyle name="常规 10 5 3 4 2" xfId="11504"/>
    <cellStyle name="常规 10 5 3 4 3" xfId="11505"/>
    <cellStyle name="常规 10 5 3 5" xfId="11506"/>
    <cellStyle name="常规 10 5 3 5 2" xfId="11507"/>
    <cellStyle name="常规 10 5 3 6" xfId="11508"/>
    <cellStyle name="常规 10 5 3 6 2" xfId="11509"/>
    <cellStyle name="常规 10 5 3 7" xfId="11510"/>
    <cellStyle name="常规 10 5 3 8" xfId="11511"/>
    <cellStyle name="常规 10 5 4" xfId="11512"/>
    <cellStyle name="常规 10 5 4 2" xfId="11513"/>
    <cellStyle name="常规 10 5 4 2 2" xfId="11514"/>
    <cellStyle name="常规 10 5 4 2 2 2" xfId="11515"/>
    <cellStyle name="常规 10 5 4 2 3" xfId="11516"/>
    <cellStyle name="常规 10 5 4 2 4" xfId="11517"/>
    <cellStyle name="常规 10 5 4 2 5" xfId="11518"/>
    <cellStyle name="常规 10 5 4 3" xfId="11519"/>
    <cellStyle name="常规 10 5 4 3 2" xfId="11520"/>
    <cellStyle name="常规 10 5 4 3 3" xfId="11521"/>
    <cellStyle name="常规 10 5 4 4" xfId="11522"/>
    <cellStyle name="常规 10 5 4 4 2" xfId="11523"/>
    <cellStyle name="常规 10 5 4 5" xfId="11524"/>
    <cellStyle name="常规 10 5 4 5 2" xfId="11525"/>
    <cellStyle name="常规 10 5 4 6" xfId="11526"/>
    <cellStyle name="常规 10 5 4 7" xfId="11527"/>
    <cellStyle name="常规 10 5 5" xfId="11528"/>
    <cellStyle name="常规 10 5 5 2" xfId="11529"/>
    <cellStyle name="常规 10 5 5 2 2" xfId="11530"/>
    <cellStyle name="常规 10 5 5 3" xfId="11531"/>
    <cellStyle name="常规 10 5 5 4" xfId="11532"/>
    <cellStyle name="常规 10 5 5 5" xfId="11533"/>
    <cellStyle name="常规 10 5 6" xfId="11534"/>
    <cellStyle name="常规 10 5 6 2" xfId="11535"/>
    <cellStyle name="常规 10 5 6 2 2" xfId="11536"/>
    <cellStyle name="常规 10 5 6 3" xfId="11537"/>
    <cellStyle name="常规 10 5 6 4" xfId="11538"/>
    <cellStyle name="常规 10 5 6 5" xfId="11539"/>
    <cellStyle name="常规 10 5 7" xfId="11540"/>
    <cellStyle name="常规 10 5 7 2" xfId="11541"/>
    <cellStyle name="常规 10 5 7 3" xfId="11542"/>
    <cellStyle name="常规 10 5 8" xfId="11543"/>
    <cellStyle name="常规 10 5 8 2" xfId="11544"/>
    <cellStyle name="常规 10 5 9" xfId="11545"/>
    <cellStyle name="常规 10 5 9 2" xfId="11546"/>
    <cellStyle name="常规 10 6" xfId="11547"/>
    <cellStyle name="常规 10 6 2" xfId="11548"/>
    <cellStyle name="常规 10 6 2 2" xfId="11549"/>
    <cellStyle name="常规 10 6 2 2 2" xfId="11550"/>
    <cellStyle name="常规 10 6 2 2 2 2" xfId="11551"/>
    <cellStyle name="常规 10 6 2 2 2 2 2" xfId="11552"/>
    <cellStyle name="常规 10 6 2 2 2 3" xfId="11553"/>
    <cellStyle name="常规 10 6 2 2 2 4" xfId="11554"/>
    <cellStyle name="常规 10 6 2 2 3" xfId="11555"/>
    <cellStyle name="常规 10 6 2 2 3 2" xfId="11556"/>
    <cellStyle name="常规 10 6 2 2 4" xfId="11557"/>
    <cellStyle name="常规 10 6 2 2 5" xfId="11558"/>
    <cellStyle name="常规 10 6 2 3" xfId="11559"/>
    <cellStyle name="常规 10 6 2 3 2" xfId="11560"/>
    <cellStyle name="常规 10 6 2 3 2 2" xfId="11561"/>
    <cellStyle name="常规 10 6 2 3 3" xfId="11562"/>
    <cellStyle name="常规 10 6 2 3 4" xfId="11563"/>
    <cellStyle name="常规 10 6 2 4" xfId="11564"/>
    <cellStyle name="常规 10 6 2 4 2" xfId="11565"/>
    <cellStyle name="常规 10 6 2 5" xfId="11566"/>
    <cellStyle name="常规 10 6 2 6" xfId="11567"/>
    <cellStyle name="常规 10 6 3" xfId="11568"/>
    <cellStyle name="常规 10 6 3 2" xfId="11569"/>
    <cellStyle name="常规 10 6 3 2 2" xfId="11570"/>
    <cellStyle name="常规 10 6 3 2 2 2" xfId="11571"/>
    <cellStyle name="常规 10 6 3 2 3" xfId="11572"/>
    <cellStyle name="常规 10 6 3 2 4" xfId="11573"/>
    <cellStyle name="常规 10 6 3 3" xfId="11574"/>
    <cellStyle name="常规 10 6 3 3 2" xfId="11575"/>
    <cellStyle name="常规 10 6 3 4" xfId="11576"/>
    <cellStyle name="常规 10 6 3 5" xfId="11577"/>
    <cellStyle name="常规 10 6 4" xfId="11578"/>
    <cellStyle name="常规 10 6 4 2" xfId="11579"/>
    <cellStyle name="常规 10 6 4 2 2" xfId="11580"/>
    <cellStyle name="常规 10 6 4 3" xfId="11581"/>
    <cellStyle name="常规 10 6 4 4" xfId="11582"/>
    <cellStyle name="常规 10 6 5" xfId="11583"/>
    <cellStyle name="常规 10 6 5 2" xfId="11584"/>
    <cellStyle name="常规 10 6 5 2 2" xfId="11585"/>
    <cellStyle name="常规 10 6 5 3" xfId="11586"/>
    <cellStyle name="常规 10 6 5 4" xfId="11587"/>
    <cellStyle name="常规 10 6 6" xfId="11588"/>
    <cellStyle name="常规 10 6 6 2" xfId="11589"/>
    <cellStyle name="常规 10 6 7" xfId="11590"/>
    <cellStyle name="常规 10 6 8" xfId="11591"/>
    <cellStyle name="常规 10 6 9" xfId="11592"/>
    <cellStyle name="常规 10 7" xfId="11593"/>
    <cellStyle name="常规 10 7 2" xfId="11594"/>
    <cellStyle name="常规 10 7 2 2" xfId="11595"/>
    <cellStyle name="常规 10 7 2 2 2" xfId="11596"/>
    <cellStyle name="常规 10 7 2 2 2 2" xfId="11597"/>
    <cellStyle name="常规 10 7 2 2 2 2 2" xfId="11598"/>
    <cellStyle name="常规 10 7 2 2 2 3" xfId="11599"/>
    <cellStyle name="常规 10 7 2 2 2 4" xfId="11600"/>
    <cellStyle name="常规 10 7 2 2 3" xfId="11601"/>
    <cellStyle name="常规 10 7 2 2 3 2" xfId="11602"/>
    <cellStyle name="常规 10 7 2 2 4" xfId="11603"/>
    <cellStyle name="常规 10 7 2 2 5" xfId="11604"/>
    <cellStyle name="常规 10 7 2 3" xfId="11605"/>
    <cellStyle name="常规 10 7 2 3 2" xfId="11606"/>
    <cellStyle name="常规 10 7 2 3 2 2" xfId="11607"/>
    <cellStyle name="常规 10 7 2 3 3" xfId="11608"/>
    <cellStyle name="常规 10 7 2 3 4" xfId="11609"/>
    <cellStyle name="常规 10 7 2 4" xfId="11610"/>
    <cellStyle name="常规 10 7 2 4 2" xfId="11611"/>
    <cellStyle name="常规 10 7 2 5" xfId="11612"/>
    <cellStyle name="常规 10 7 2 6" xfId="11613"/>
    <cellStyle name="常规 10 7 3" xfId="11614"/>
    <cellStyle name="常规 10 7 3 2" xfId="11615"/>
    <cellStyle name="常规 10 7 3 2 2" xfId="11616"/>
    <cellStyle name="常规 10 7 3 2 2 2" xfId="11617"/>
    <cellStyle name="常规 10 7 3 2 3" xfId="11618"/>
    <cellStyle name="常规 10 7 3 2 4" xfId="11619"/>
    <cellStyle name="常规 10 7 3 3" xfId="11620"/>
    <cellStyle name="常规 10 7 3 3 2" xfId="11621"/>
    <cellStyle name="常规 10 7 3 4" xfId="11622"/>
    <cellStyle name="常规 10 7 3 5" xfId="11623"/>
    <cellStyle name="常规 10 7 4" xfId="11624"/>
    <cellStyle name="常规 10 7 4 2" xfId="11625"/>
    <cellStyle name="常规 10 7 4 2 2" xfId="11626"/>
    <cellStyle name="常规 10 7 4 3" xfId="11627"/>
    <cellStyle name="常规 10 7 4 4" xfId="11628"/>
    <cellStyle name="常规 10 7 5" xfId="11629"/>
    <cellStyle name="常规 10 7 5 2" xfId="11630"/>
    <cellStyle name="常规 10 7 5 2 2" xfId="11631"/>
    <cellStyle name="常规 10 7 5 3" xfId="11632"/>
    <cellStyle name="常规 10 7 5 4" xfId="11633"/>
    <cellStyle name="常规 10 7 6" xfId="11634"/>
    <cellStyle name="常规 10 7 6 2" xfId="11635"/>
    <cellStyle name="常规 10 7 7" xfId="11636"/>
    <cellStyle name="常规 10 7 8" xfId="11637"/>
    <cellStyle name="常规 10 7 9" xfId="11638"/>
    <cellStyle name="常规 10 8" xfId="11639"/>
    <cellStyle name="常规 10 8 2" xfId="11640"/>
    <cellStyle name="常规 10 8 2 2" xfId="11641"/>
    <cellStyle name="常规 10 8 2 2 2" xfId="11642"/>
    <cellStyle name="常规 10 8 2 2 2 2" xfId="11643"/>
    <cellStyle name="常规 10 8 2 2 2 2 2" xfId="11644"/>
    <cellStyle name="常规 10 8 2 2 2 3" xfId="11645"/>
    <cellStyle name="常规 10 8 2 2 2 4" xfId="11646"/>
    <cellStyle name="常规 10 8 2 2 3" xfId="11647"/>
    <cellStyle name="常规 10 8 2 2 3 2" xfId="11648"/>
    <cellStyle name="常规 10 8 2 2 4" xfId="11649"/>
    <cellStyle name="常规 10 8 2 2 5" xfId="11650"/>
    <cellStyle name="常规 10 8 2 3" xfId="11651"/>
    <cellStyle name="常规 10 8 2 3 2" xfId="11652"/>
    <cellStyle name="常规 10 8 2 3 2 2" xfId="11653"/>
    <cellStyle name="常规 10 8 2 3 3" xfId="11654"/>
    <cellStyle name="常规 10 8 2 3 4" xfId="11655"/>
    <cellStyle name="常规 10 8 2 4" xfId="11656"/>
    <cellStyle name="常规 10 8 2 4 2" xfId="11657"/>
    <cellStyle name="常规 10 8 2 5" xfId="11658"/>
    <cellStyle name="常规 10 8 2 6" xfId="11659"/>
    <cellStyle name="常规 10 8 3" xfId="11660"/>
    <cellStyle name="常规 10 8 3 2" xfId="11661"/>
    <cellStyle name="常规 10 8 3 2 2" xfId="11662"/>
    <cellStyle name="常规 10 8 3 2 2 2" xfId="11663"/>
    <cellStyle name="常规 10 8 3 2 3" xfId="11664"/>
    <cellStyle name="常规 10 8 3 2 4" xfId="11665"/>
    <cellStyle name="常规 10 8 3 3" xfId="11666"/>
    <cellStyle name="常规 10 8 3 3 2" xfId="11667"/>
    <cellStyle name="常规 10 8 3 4" xfId="11668"/>
    <cellStyle name="常规 10 8 3 5" xfId="11669"/>
    <cellStyle name="常规 10 8 4" xfId="11670"/>
    <cellStyle name="常规 10 8 4 2" xfId="11671"/>
    <cellStyle name="常规 10 8 4 2 2" xfId="11672"/>
    <cellStyle name="常规 10 8 4 3" xfId="11673"/>
    <cellStyle name="常规 10 8 4 4" xfId="11674"/>
    <cellStyle name="常规 10 8 5" xfId="11675"/>
    <cellStyle name="常规 10 8 5 2" xfId="11676"/>
    <cellStyle name="常规 10 8 6" xfId="11677"/>
    <cellStyle name="常规 10 8 7" xfId="11678"/>
    <cellStyle name="常规 10 8 8" xfId="11679"/>
    <cellStyle name="常规 10 9" xfId="11680"/>
    <cellStyle name="常规 10 9 2" xfId="11681"/>
    <cellStyle name="常规 10 9 2 2" xfId="11682"/>
    <cellStyle name="常规 10 9 2 2 2" xfId="11683"/>
    <cellStyle name="常规 10 9 2 2 2 2" xfId="11684"/>
    <cellStyle name="常规 10 9 2 2 3" xfId="11685"/>
    <cellStyle name="常规 10 9 2 2 4" xfId="11686"/>
    <cellStyle name="常规 10 9 2 3" xfId="11687"/>
    <cellStyle name="常规 10 9 2 3 2" xfId="11688"/>
    <cellStyle name="常规 10 9 2 4" xfId="11689"/>
    <cellStyle name="常规 10 9 2 5" xfId="11690"/>
    <cellStyle name="常规 10 9 3" xfId="11691"/>
    <cellStyle name="常规 10 9 3 2" xfId="11692"/>
    <cellStyle name="常规 10 9 3 2 2" xfId="11693"/>
    <cellStyle name="常规 10 9 3 3" xfId="11694"/>
    <cellStyle name="常规 10 9 3 4" xfId="11695"/>
    <cellStyle name="常规 10 9 4" xfId="11696"/>
    <cellStyle name="常规 10 9 4 2" xfId="11697"/>
    <cellStyle name="常规 10 9 5" xfId="11698"/>
    <cellStyle name="常规 10 9 6" xfId="11699"/>
    <cellStyle name="常规 10 9 7" xfId="11700"/>
    <cellStyle name="常规 100" xfId="11701"/>
    <cellStyle name="常规 101" xfId="11702"/>
    <cellStyle name="常规 101 2" xfId="11703"/>
    <cellStyle name="常规 102" xfId="11704"/>
    <cellStyle name="常规 102 2" xfId="11705"/>
    <cellStyle name="常规 102 3" xfId="11706"/>
    <cellStyle name="常规 103" xfId="11707"/>
    <cellStyle name="常规 103 2" xfId="11708"/>
    <cellStyle name="常规 104" xfId="11709"/>
    <cellStyle name="常规 105" xfId="11710"/>
    <cellStyle name="常规 106" xfId="11711"/>
    <cellStyle name="常规 107" xfId="11712"/>
    <cellStyle name="常规 107 2" xfId="11713"/>
    <cellStyle name="常规 108" xfId="11714"/>
    <cellStyle name="常规 108 2" xfId="11715"/>
    <cellStyle name="常规 108 3" xfId="11716"/>
    <cellStyle name="常规 109" xfId="11717"/>
    <cellStyle name="常规 11" xfId="11718"/>
    <cellStyle name="常规 11 10" xfId="11719"/>
    <cellStyle name="常规 11 10 10" xfId="11720"/>
    <cellStyle name="常规 11 10 2" xfId="11721"/>
    <cellStyle name="常规 11 10 2 2" xfId="11722"/>
    <cellStyle name="常规 11 10 2 2 2" xfId="11723"/>
    <cellStyle name="常规 11 10 2 2 3" xfId="11724"/>
    <cellStyle name="常规 11 10 2 2 4" xfId="11725"/>
    <cellStyle name="常规 11 10 2 2 5" xfId="11726"/>
    <cellStyle name="常规 11 10 2 2 6" xfId="11727"/>
    <cellStyle name="常规 11 10 2 3" xfId="11728"/>
    <cellStyle name="常规 11 10 2 4" xfId="11729"/>
    <cellStyle name="常规 11 10 2 5" xfId="11730"/>
    <cellStyle name="常规 11 10 2 6" xfId="11731"/>
    <cellStyle name="常规 11 10 2 7" xfId="11732"/>
    <cellStyle name="常规 11 10 3" xfId="11733"/>
    <cellStyle name="常规 11 10 3 2" xfId="11734"/>
    <cellStyle name="常规 11 10 3 2 2" xfId="11735"/>
    <cellStyle name="常规 11 10 3 2 3" xfId="11736"/>
    <cellStyle name="常规 11 10 3 2 4" xfId="11737"/>
    <cellStyle name="常规 11 10 3 2 5" xfId="11738"/>
    <cellStyle name="常规 11 10 3 2 6" xfId="11739"/>
    <cellStyle name="常规 11 10 3 3" xfId="11740"/>
    <cellStyle name="常规 11 10 3 4" xfId="11741"/>
    <cellStyle name="常规 11 10 3 5" xfId="11742"/>
    <cellStyle name="常规 11 10 3 6" xfId="11743"/>
    <cellStyle name="常规 11 10 3 7" xfId="11744"/>
    <cellStyle name="常规 11 10 4" xfId="11745"/>
    <cellStyle name="常规 11 10 4 2" xfId="11746"/>
    <cellStyle name="常规 11 10 4 2 2" xfId="11747"/>
    <cellStyle name="常规 11 10 4 2 3" xfId="11748"/>
    <cellStyle name="常规 11 10 4 2 4" xfId="11749"/>
    <cellStyle name="常规 11 10 4 2 5" xfId="11750"/>
    <cellStyle name="常规 11 10 4 2 6" xfId="11751"/>
    <cellStyle name="常规 11 10 4 3" xfId="11752"/>
    <cellStyle name="常规 11 10 4 4" xfId="11753"/>
    <cellStyle name="常规 11 10 4 5" xfId="11754"/>
    <cellStyle name="常规 11 10 4 6" xfId="11755"/>
    <cellStyle name="常规 11 10 4 7" xfId="11756"/>
    <cellStyle name="常规 11 10 5" xfId="11757"/>
    <cellStyle name="常规 11 10 5 2" xfId="11758"/>
    <cellStyle name="常规 11 10 5 3" xfId="11759"/>
    <cellStyle name="常规 11 10 5 4" xfId="11760"/>
    <cellStyle name="常规 11 10 5 5" xfId="11761"/>
    <cellStyle name="常规 11 10 5 6" xfId="11762"/>
    <cellStyle name="常规 11 10 6" xfId="11763"/>
    <cellStyle name="常规 11 10 7" xfId="11764"/>
    <cellStyle name="常规 11 10 8" xfId="11765"/>
    <cellStyle name="常规 11 10 9" xfId="11766"/>
    <cellStyle name="常规 11 11" xfId="11767"/>
    <cellStyle name="常规 11 11 2" xfId="11768"/>
    <cellStyle name="常规 11 11 2 2" xfId="11769"/>
    <cellStyle name="常规 11 11 2 2 2" xfId="11770"/>
    <cellStyle name="常规 11 11 2 2 3" xfId="11771"/>
    <cellStyle name="常规 11 11 2 2 4" xfId="11772"/>
    <cellStyle name="常规 11 11 2 2 5" xfId="11773"/>
    <cellStyle name="常规 11 11 2 2 6" xfId="11774"/>
    <cellStyle name="常规 11 11 2 3" xfId="11775"/>
    <cellStyle name="常规 11 11 2 4" xfId="11776"/>
    <cellStyle name="常规 11 11 2 5" xfId="11777"/>
    <cellStyle name="常规 11 11 2 6" xfId="11778"/>
    <cellStyle name="常规 11 11 2 7" xfId="11779"/>
    <cellStyle name="常规 11 11 3" xfId="11780"/>
    <cellStyle name="常规 11 11 3 2" xfId="11781"/>
    <cellStyle name="常规 11 11 3 2 2" xfId="11782"/>
    <cellStyle name="常规 11 11 3 2 3" xfId="11783"/>
    <cellStyle name="常规 11 11 3 2 4" xfId="11784"/>
    <cellStyle name="常规 11 11 3 2 5" xfId="11785"/>
    <cellStyle name="常规 11 11 3 2 6" xfId="11786"/>
    <cellStyle name="常规 11 11 3 3" xfId="11787"/>
    <cellStyle name="常规 11 11 3 4" xfId="11788"/>
    <cellStyle name="常规 11 11 3 5" xfId="11789"/>
    <cellStyle name="常规 11 11 3 6" xfId="11790"/>
    <cellStyle name="常规 11 11 3 7" xfId="11791"/>
    <cellStyle name="常规 11 11 4" xfId="11792"/>
    <cellStyle name="常规 11 11 4 2" xfId="11793"/>
    <cellStyle name="常规 11 11 4 3" xfId="11794"/>
    <cellStyle name="常规 11 11 4 4" xfId="11795"/>
    <cellStyle name="常规 11 11 4 5" xfId="11796"/>
    <cellStyle name="常规 11 11 4 6" xfId="11797"/>
    <cellStyle name="常规 11 11 5" xfId="11798"/>
    <cellStyle name="常规 11 11 6" xfId="11799"/>
    <cellStyle name="常规 11 11 7" xfId="11800"/>
    <cellStyle name="常规 11 11 8" xfId="11801"/>
    <cellStyle name="常规 11 11 9" xfId="11802"/>
    <cellStyle name="常规 11 12" xfId="11803"/>
    <cellStyle name="常规 11 12 2" xfId="11804"/>
    <cellStyle name="常规 11 12 2 2" xfId="11805"/>
    <cellStyle name="常规 11 12 2 2 2" xfId="11806"/>
    <cellStyle name="常规 11 12 2 2 3" xfId="11807"/>
    <cellStyle name="常规 11 12 2 2 4" xfId="11808"/>
    <cellStyle name="常规 11 12 2 2 5" xfId="11809"/>
    <cellStyle name="常规 11 12 2 2 6" xfId="11810"/>
    <cellStyle name="常规 11 12 2 3" xfId="11811"/>
    <cellStyle name="常规 11 12 2 4" xfId="11812"/>
    <cellStyle name="常规 11 12 2 5" xfId="11813"/>
    <cellStyle name="常规 11 12 2 6" xfId="11814"/>
    <cellStyle name="常规 11 12 2 7" xfId="11815"/>
    <cellStyle name="常规 11 12 3" xfId="11816"/>
    <cellStyle name="常规 11 12 3 2" xfId="11817"/>
    <cellStyle name="常规 11 12 3 3" xfId="11818"/>
    <cellStyle name="常规 11 12 3 4" xfId="11819"/>
    <cellStyle name="常规 11 12 3 5" xfId="11820"/>
    <cellStyle name="常规 11 12 3 6" xfId="11821"/>
    <cellStyle name="常规 11 12 4" xfId="11822"/>
    <cellStyle name="常规 11 12 5" xfId="11823"/>
    <cellStyle name="常规 11 12 6" xfId="11824"/>
    <cellStyle name="常规 11 12 7" xfId="11825"/>
    <cellStyle name="常规 11 12 8" xfId="11826"/>
    <cellStyle name="常规 11 13" xfId="11827"/>
    <cellStyle name="常规 11 13 2" xfId="11828"/>
    <cellStyle name="常规 11 13 2 2" xfId="11829"/>
    <cellStyle name="常规 11 13 2 2 2" xfId="11830"/>
    <cellStyle name="常规 11 13 2 2 3" xfId="11831"/>
    <cellStyle name="常规 11 13 2 2 4" xfId="11832"/>
    <cellStyle name="常规 11 13 2 2 5" xfId="11833"/>
    <cellStyle name="常规 11 13 2 2 6" xfId="11834"/>
    <cellStyle name="常规 11 13 2 3" xfId="11835"/>
    <cellStyle name="常规 11 13 2 4" xfId="11836"/>
    <cellStyle name="常规 11 13 2 5" xfId="11837"/>
    <cellStyle name="常规 11 13 2 6" xfId="11838"/>
    <cellStyle name="常规 11 13 2 7" xfId="11839"/>
    <cellStyle name="常规 11 13 3" xfId="11840"/>
    <cellStyle name="常规 11 13 3 2" xfId="11841"/>
    <cellStyle name="常规 11 13 3 3" xfId="11842"/>
    <cellStyle name="常规 11 13 3 4" xfId="11843"/>
    <cellStyle name="常规 11 13 3 5" xfId="11844"/>
    <cellStyle name="常规 11 13 3 6" xfId="11845"/>
    <cellStyle name="常规 11 13 4" xfId="11846"/>
    <cellStyle name="常规 11 13 5" xfId="11847"/>
    <cellStyle name="常规 11 13 6" xfId="11848"/>
    <cellStyle name="常规 11 13 7" xfId="11849"/>
    <cellStyle name="常规 11 13 8" xfId="11850"/>
    <cellStyle name="常规 11 14" xfId="11851"/>
    <cellStyle name="常规 11 14 2" xfId="11852"/>
    <cellStyle name="常规 11 14 2 2" xfId="11853"/>
    <cellStyle name="常规 11 14 2 2 2" xfId="11854"/>
    <cellStyle name="常规 11 14 2 2 3" xfId="11855"/>
    <cellStyle name="常规 11 14 2 2 4" xfId="11856"/>
    <cellStyle name="常规 11 14 2 2 5" xfId="11857"/>
    <cellStyle name="常规 11 14 2 2 6" xfId="11858"/>
    <cellStyle name="常规 11 14 2 3" xfId="11859"/>
    <cellStyle name="常规 11 14 2 4" xfId="11860"/>
    <cellStyle name="常规 11 14 2 5" xfId="11861"/>
    <cellStyle name="常规 11 14 2 6" xfId="11862"/>
    <cellStyle name="常规 11 14 2 7" xfId="11863"/>
    <cellStyle name="常规 11 14 3" xfId="11864"/>
    <cellStyle name="常规 11 14 3 2" xfId="11865"/>
    <cellStyle name="常规 11 14 3 3" xfId="11866"/>
    <cellStyle name="常规 11 14 3 4" xfId="11867"/>
    <cellStyle name="常规 11 14 3 5" xfId="11868"/>
    <cellStyle name="常规 11 14 3 6" xfId="11869"/>
    <cellStyle name="常规 11 14 4" xfId="11870"/>
    <cellStyle name="常规 11 14 5" xfId="11871"/>
    <cellStyle name="常规 11 14 6" xfId="11872"/>
    <cellStyle name="常规 11 14 7" xfId="11873"/>
    <cellStyle name="常规 11 14 8" xfId="11874"/>
    <cellStyle name="常规 11 15" xfId="11875"/>
    <cellStyle name="常规 11 15 2" xfId="11876"/>
    <cellStyle name="常规 11 15 2 2" xfId="11877"/>
    <cellStyle name="常规 11 15 2 2 2" xfId="11878"/>
    <cellStyle name="常规 11 15 2 2 3" xfId="11879"/>
    <cellStyle name="常规 11 15 2 2 4" xfId="11880"/>
    <cellStyle name="常规 11 15 2 2 5" xfId="11881"/>
    <cellStyle name="常规 11 15 2 2 6" xfId="11882"/>
    <cellStyle name="常规 11 15 2 3" xfId="11883"/>
    <cellStyle name="常规 11 15 2 4" xfId="11884"/>
    <cellStyle name="常规 11 15 2 5" xfId="11885"/>
    <cellStyle name="常规 11 15 2 6" xfId="11886"/>
    <cellStyle name="常规 11 15 2 7" xfId="11887"/>
    <cellStyle name="常规 11 15 3" xfId="11888"/>
    <cellStyle name="常规 11 15 3 2" xfId="11889"/>
    <cellStyle name="常规 11 15 3 3" xfId="11890"/>
    <cellStyle name="常规 11 15 3 4" xfId="11891"/>
    <cellStyle name="常规 11 15 3 5" xfId="11892"/>
    <cellStyle name="常规 11 15 3 6" xfId="11893"/>
    <cellStyle name="常规 11 15 4" xfId="11894"/>
    <cellStyle name="常规 11 15 5" xfId="11895"/>
    <cellStyle name="常规 11 15 6" xfId="11896"/>
    <cellStyle name="常规 11 15 7" xfId="11897"/>
    <cellStyle name="常规 11 15 8" xfId="11898"/>
    <cellStyle name="常规 11 16" xfId="11899"/>
    <cellStyle name="常规 11 16 2" xfId="11900"/>
    <cellStyle name="常规 11 16 2 2" xfId="11901"/>
    <cellStyle name="常规 11 16 2 3" xfId="11902"/>
    <cellStyle name="常规 11 16 2 4" xfId="11903"/>
    <cellStyle name="常规 11 16 2 5" xfId="11904"/>
    <cellStyle name="常规 11 16 2 6" xfId="11905"/>
    <cellStyle name="常规 11 16 3" xfId="11906"/>
    <cellStyle name="常规 11 16 4" xfId="11907"/>
    <cellStyle name="常规 11 16 5" xfId="11908"/>
    <cellStyle name="常规 11 16 6" xfId="11909"/>
    <cellStyle name="常规 11 16 7" xfId="11910"/>
    <cellStyle name="常规 11 17" xfId="11911"/>
    <cellStyle name="常规 11 17 2" xfId="11912"/>
    <cellStyle name="常规 11 17 2 2" xfId="11913"/>
    <cellStyle name="常规 11 17 2 3" xfId="11914"/>
    <cellStyle name="常规 11 17 2 4" xfId="11915"/>
    <cellStyle name="常规 11 17 2 5" xfId="11916"/>
    <cellStyle name="常规 11 17 2 6" xfId="11917"/>
    <cellStyle name="常规 11 17 3" xfId="11918"/>
    <cellStyle name="常规 11 17 4" xfId="11919"/>
    <cellStyle name="常规 11 17 5" xfId="11920"/>
    <cellStyle name="常规 11 17 6" xfId="11921"/>
    <cellStyle name="常规 11 17 7" xfId="11922"/>
    <cellStyle name="常规 11 18" xfId="11923"/>
    <cellStyle name="常规 11 18 2" xfId="11924"/>
    <cellStyle name="常规 11 18 2 2" xfId="11925"/>
    <cellStyle name="常规 11 18 2 3" xfId="11926"/>
    <cellStyle name="常规 11 18 2 4" xfId="11927"/>
    <cellStyle name="常规 11 18 2 5" xfId="11928"/>
    <cellStyle name="常规 11 18 2 6" xfId="11929"/>
    <cellStyle name="常规 11 18 3" xfId="11930"/>
    <cellStyle name="常规 11 18 4" xfId="11931"/>
    <cellStyle name="常规 11 18 5" xfId="11932"/>
    <cellStyle name="常规 11 18 6" xfId="11933"/>
    <cellStyle name="常规 11 18 7" xfId="11934"/>
    <cellStyle name="常规 11 19" xfId="11935"/>
    <cellStyle name="常规 11 19 2" xfId="11936"/>
    <cellStyle name="常规 11 19 2 2" xfId="11937"/>
    <cellStyle name="常规 11 19 2 3" xfId="11938"/>
    <cellStyle name="常规 11 19 2 4" xfId="11939"/>
    <cellStyle name="常规 11 19 2 5" xfId="11940"/>
    <cellStyle name="常规 11 19 2 6" xfId="11941"/>
    <cellStyle name="常规 11 19 3" xfId="11942"/>
    <cellStyle name="常规 11 19 4" xfId="11943"/>
    <cellStyle name="常规 11 19 5" xfId="11944"/>
    <cellStyle name="常规 11 19 6" xfId="11945"/>
    <cellStyle name="常规 11 19 7" xfId="11946"/>
    <cellStyle name="常规 11 2" xfId="11947"/>
    <cellStyle name="常规 11 2 10" xfId="11948"/>
    <cellStyle name="常规 11 2 10 2" xfId="11949"/>
    <cellStyle name="常规 11 2 10 2 2" xfId="11950"/>
    <cellStyle name="常规 11 2 10 2 2 2" xfId="11951"/>
    <cellStyle name="常规 11 2 10 2 2 3" xfId="11952"/>
    <cellStyle name="常规 11 2 10 2 2 4" xfId="11953"/>
    <cellStyle name="常规 11 2 10 2 2 5" xfId="11954"/>
    <cellStyle name="常规 11 2 10 2 2 6" xfId="11955"/>
    <cellStyle name="常规 11 2 10 2 3" xfId="11956"/>
    <cellStyle name="常规 11 2 10 2 4" xfId="11957"/>
    <cellStyle name="常规 11 2 10 2 5" xfId="11958"/>
    <cellStyle name="常规 11 2 10 2 6" xfId="11959"/>
    <cellStyle name="常规 11 2 10 2 7" xfId="11960"/>
    <cellStyle name="常规 11 2 10 3" xfId="11961"/>
    <cellStyle name="常规 11 2 10 3 2" xfId="11962"/>
    <cellStyle name="常规 11 2 10 3 2 2" xfId="11963"/>
    <cellStyle name="常规 11 2 10 3 2 3" xfId="11964"/>
    <cellStyle name="常规 11 2 10 3 2 4" xfId="11965"/>
    <cellStyle name="常规 11 2 10 3 2 5" xfId="11966"/>
    <cellStyle name="常规 11 2 10 3 2 6" xfId="11967"/>
    <cellStyle name="常规 11 2 10 3 3" xfId="11968"/>
    <cellStyle name="常规 11 2 10 3 4" xfId="11969"/>
    <cellStyle name="常规 11 2 10 3 5" xfId="11970"/>
    <cellStyle name="常规 11 2 10 3 6" xfId="11971"/>
    <cellStyle name="常规 11 2 10 3 7" xfId="11972"/>
    <cellStyle name="常规 11 2 10 4" xfId="11973"/>
    <cellStyle name="常规 11 2 10 4 2" xfId="11974"/>
    <cellStyle name="常规 11 2 10 4 3" xfId="11975"/>
    <cellStyle name="常规 11 2 10 4 4" xfId="11976"/>
    <cellStyle name="常规 11 2 10 4 5" xfId="11977"/>
    <cellStyle name="常规 11 2 10 4 6" xfId="11978"/>
    <cellStyle name="常规 11 2 10 5" xfId="11979"/>
    <cellStyle name="常规 11 2 10 6" xfId="11980"/>
    <cellStyle name="常规 11 2 10 7" xfId="11981"/>
    <cellStyle name="常规 11 2 10 8" xfId="11982"/>
    <cellStyle name="常规 11 2 10 9" xfId="11983"/>
    <cellStyle name="常规 11 2 11" xfId="11984"/>
    <cellStyle name="常规 11 2 11 2" xfId="11985"/>
    <cellStyle name="常规 11 2 11 2 2" xfId="11986"/>
    <cellStyle name="常规 11 2 11 2 2 2" xfId="11987"/>
    <cellStyle name="常规 11 2 11 2 2 3" xfId="11988"/>
    <cellStyle name="常规 11 2 11 2 2 4" xfId="11989"/>
    <cellStyle name="常规 11 2 11 2 2 5" xfId="11990"/>
    <cellStyle name="常规 11 2 11 2 2 6" xfId="11991"/>
    <cellStyle name="常规 11 2 11 2 3" xfId="11992"/>
    <cellStyle name="常规 11 2 11 2 4" xfId="11993"/>
    <cellStyle name="常规 11 2 11 2 5" xfId="11994"/>
    <cellStyle name="常规 11 2 11 2 6" xfId="11995"/>
    <cellStyle name="常规 11 2 11 2 7" xfId="11996"/>
    <cellStyle name="常规 11 2 11 3" xfId="11997"/>
    <cellStyle name="常规 11 2 11 3 2" xfId="11998"/>
    <cellStyle name="常规 11 2 11 3 3" xfId="11999"/>
    <cellStyle name="常规 11 2 11 3 4" xfId="12000"/>
    <cellStyle name="常规 11 2 11 3 5" xfId="12001"/>
    <cellStyle name="常规 11 2 11 3 6" xfId="12002"/>
    <cellStyle name="常规 11 2 11 4" xfId="12003"/>
    <cellStyle name="常规 11 2 11 5" xfId="12004"/>
    <cellStyle name="常规 11 2 11 6" xfId="12005"/>
    <cellStyle name="常规 11 2 11 7" xfId="12006"/>
    <cellStyle name="常规 11 2 11 8" xfId="12007"/>
    <cellStyle name="常规 11 2 12" xfId="12008"/>
    <cellStyle name="常规 11 2 12 2" xfId="12009"/>
    <cellStyle name="常规 11 2 12 2 2" xfId="12010"/>
    <cellStyle name="常规 11 2 12 2 2 2" xfId="12011"/>
    <cellStyle name="常规 11 2 12 2 2 3" xfId="12012"/>
    <cellStyle name="常规 11 2 12 2 2 4" xfId="12013"/>
    <cellStyle name="常规 11 2 12 2 2 5" xfId="12014"/>
    <cellStyle name="常规 11 2 12 2 2 6" xfId="12015"/>
    <cellStyle name="常规 11 2 12 2 3" xfId="12016"/>
    <cellStyle name="常规 11 2 12 2 4" xfId="12017"/>
    <cellStyle name="常规 11 2 12 2 5" xfId="12018"/>
    <cellStyle name="常规 11 2 12 2 6" xfId="12019"/>
    <cellStyle name="常规 11 2 12 2 7" xfId="12020"/>
    <cellStyle name="常规 11 2 12 3" xfId="12021"/>
    <cellStyle name="常规 11 2 12 3 2" xfId="12022"/>
    <cellStyle name="常规 11 2 12 3 3" xfId="12023"/>
    <cellStyle name="常规 11 2 12 3 4" xfId="12024"/>
    <cellStyle name="常规 11 2 12 3 5" xfId="12025"/>
    <cellStyle name="常规 11 2 12 3 6" xfId="12026"/>
    <cellStyle name="常规 11 2 12 4" xfId="12027"/>
    <cellStyle name="常规 11 2 12 5" xfId="12028"/>
    <cellStyle name="常规 11 2 12 6" xfId="12029"/>
    <cellStyle name="常规 11 2 12 7" xfId="12030"/>
    <cellStyle name="常规 11 2 12 8" xfId="12031"/>
    <cellStyle name="常规 11 2 13" xfId="12032"/>
    <cellStyle name="常规 11 2 13 2" xfId="12033"/>
    <cellStyle name="常规 11 2 13 2 2" xfId="12034"/>
    <cellStyle name="常规 11 2 13 2 2 2" xfId="12035"/>
    <cellStyle name="常规 11 2 13 2 2 3" xfId="12036"/>
    <cellStyle name="常规 11 2 13 2 2 4" xfId="12037"/>
    <cellStyle name="常规 11 2 13 2 2 5" xfId="12038"/>
    <cellStyle name="常规 11 2 13 2 2 6" xfId="12039"/>
    <cellStyle name="常规 11 2 13 2 3" xfId="12040"/>
    <cellStyle name="常规 11 2 13 2 4" xfId="12041"/>
    <cellStyle name="常规 11 2 13 2 5" xfId="12042"/>
    <cellStyle name="常规 11 2 13 2 6" xfId="12043"/>
    <cellStyle name="常规 11 2 13 2 7" xfId="12044"/>
    <cellStyle name="常规 11 2 13 3" xfId="12045"/>
    <cellStyle name="常规 11 2 13 3 2" xfId="12046"/>
    <cellStyle name="常规 11 2 13 3 3" xfId="12047"/>
    <cellStyle name="常规 11 2 13 3 4" xfId="12048"/>
    <cellStyle name="常规 11 2 13 3 5" xfId="12049"/>
    <cellStyle name="常规 11 2 13 3 6" xfId="12050"/>
    <cellStyle name="常规 11 2 13 4" xfId="12051"/>
    <cellStyle name="常规 11 2 13 5" xfId="12052"/>
    <cellStyle name="常规 11 2 13 6" xfId="12053"/>
    <cellStyle name="常规 11 2 13 7" xfId="12054"/>
    <cellStyle name="常规 11 2 13 8" xfId="12055"/>
    <cellStyle name="常规 11 2 14" xfId="12056"/>
    <cellStyle name="常规 11 2 14 2" xfId="12057"/>
    <cellStyle name="常规 11 2 14 2 2" xfId="12058"/>
    <cellStyle name="常规 11 2 14 2 2 2" xfId="12059"/>
    <cellStyle name="常规 11 2 14 2 2 3" xfId="12060"/>
    <cellStyle name="常规 11 2 14 2 2 4" xfId="12061"/>
    <cellStyle name="常规 11 2 14 2 2 5" xfId="12062"/>
    <cellStyle name="常规 11 2 14 2 2 6" xfId="12063"/>
    <cellStyle name="常规 11 2 14 2 3" xfId="12064"/>
    <cellStyle name="常规 11 2 14 2 4" xfId="12065"/>
    <cellStyle name="常规 11 2 14 2 5" xfId="12066"/>
    <cellStyle name="常规 11 2 14 2 6" xfId="12067"/>
    <cellStyle name="常规 11 2 14 2 7" xfId="12068"/>
    <cellStyle name="常规 11 2 14 3" xfId="12069"/>
    <cellStyle name="常规 11 2 14 3 2" xfId="12070"/>
    <cellStyle name="常规 11 2 14 3 3" xfId="12071"/>
    <cellStyle name="常规 11 2 14 3 4" xfId="12072"/>
    <cellStyle name="常规 11 2 14 3 5" xfId="12073"/>
    <cellStyle name="常规 11 2 14 3 6" xfId="12074"/>
    <cellStyle name="常规 11 2 14 4" xfId="12075"/>
    <cellStyle name="常规 11 2 14 5" xfId="12076"/>
    <cellStyle name="常规 11 2 14 6" xfId="12077"/>
    <cellStyle name="常规 11 2 14 7" xfId="12078"/>
    <cellStyle name="常规 11 2 14 8" xfId="12079"/>
    <cellStyle name="常规 11 2 15" xfId="12080"/>
    <cellStyle name="常规 11 2 15 2" xfId="12081"/>
    <cellStyle name="常规 11 2 15 2 2" xfId="12082"/>
    <cellStyle name="常规 11 2 15 2 3" xfId="12083"/>
    <cellStyle name="常规 11 2 15 2 4" xfId="12084"/>
    <cellStyle name="常规 11 2 15 2 5" xfId="12085"/>
    <cellStyle name="常规 11 2 15 2 6" xfId="12086"/>
    <cellStyle name="常规 11 2 15 3" xfId="12087"/>
    <cellStyle name="常规 11 2 15 4" xfId="12088"/>
    <cellStyle name="常规 11 2 15 5" xfId="12089"/>
    <cellStyle name="常规 11 2 15 6" xfId="12090"/>
    <cellStyle name="常规 11 2 15 7" xfId="12091"/>
    <cellStyle name="常规 11 2 16" xfId="12092"/>
    <cellStyle name="常规 11 2 17" xfId="12093"/>
    <cellStyle name="常规 11 2 18" xfId="12094"/>
    <cellStyle name="常规 11 2 2" xfId="12095"/>
    <cellStyle name="常规 11 2 2 10" xfId="12096"/>
    <cellStyle name="常规 11 2 2 10 2" xfId="12097"/>
    <cellStyle name="常规 11 2 2 10 2 2" xfId="12098"/>
    <cellStyle name="常规 11 2 2 10 2 3" xfId="12099"/>
    <cellStyle name="常规 11 2 2 10 2 4" xfId="12100"/>
    <cellStyle name="常规 11 2 2 10 2 5" xfId="12101"/>
    <cellStyle name="常规 11 2 2 10 2 6" xfId="12102"/>
    <cellStyle name="常规 11 2 2 10 3" xfId="12103"/>
    <cellStyle name="常规 11 2 2 10 4" xfId="12104"/>
    <cellStyle name="常规 11 2 2 10 5" xfId="12105"/>
    <cellStyle name="常规 11 2 2 10 6" xfId="12106"/>
    <cellStyle name="常规 11 2 2 10 7" xfId="12107"/>
    <cellStyle name="常规 11 2 2 11" xfId="12108"/>
    <cellStyle name="常规 11 2 2 11 2" xfId="12109"/>
    <cellStyle name="常规 11 2 2 11 3" xfId="12110"/>
    <cellStyle name="常规 11 2 2 11 4" xfId="12111"/>
    <cellStyle name="常规 11 2 2 11 5" xfId="12112"/>
    <cellStyle name="常规 11 2 2 11 6" xfId="12113"/>
    <cellStyle name="常规 11 2 2 12" xfId="12114"/>
    <cellStyle name="常规 11 2 2 13" xfId="12115"/>
    <cellStyle name="常规 11 2 2 14" xfId="12116"/>
    <cellStyle name="常规 11 2 2 15" xfId="12117"/>
    <cellStyle name="常规 11 2 2 16" xfId="12118"/>
    <cellStyle name="常规 11 2 2 2" xfId="12119"/>
    <cellStyle name="常规 11 2 2 2 2" xfId="12120"/>
    <cellStyle name="常规 11 2 2 2 2 2" xfId="12121"/>
    <cellStyle name="常规 11 2 2 2 2 3" xfId="12122"/>
    <cellStyle name="常规 11 2 2 2 2 4" xfId="12123"/>
    <cellStyle name="常规 11 2 2 2 2 5" xfId="12124"/>
    <cellStyle name="常规 11 2 2 2 2 6" xfId="12125"/>
    <cellStyle name="常规 11 2 2 2 3" xfId="12126"/>
    <cellStyle name="常规 11 2 2 2 4" xfId="12127"/>
    <cellStyle name="常规 11 2 2 2 5" xfId="12128"/>
    <cellStyle name="常规 11 2 2 2 6" xfId="12129"/>
    <cellStyle name="常规 11 2 2 2 7" xfId="12130"/>
    <cellStyle name="常规 11 2 2 3" xfId="12131"/>
    <cellStyle name="常规 11 2 2 3 2" xfId="12132"/>
    <cellStyle name="常规 11 2 2 3 2 2" xfId="12133"/>
    <cellStyle name="常规 11 2 2 3 2 3" xfId="12134"/>
    <cellStyle name="常规 11 2 2 3 2 4" xfId="12135"/>
    <cellStyle name="常规 11 2 2 3 2 5" xfId="12136"/>
    <cellStyle name="常规 11 2 2 3 2 6" xfId="12137"/>
    <cellStyle name="常规 11 2 2 3 3" xfId="12138"/>
    <cellStyle name="常规 11 2 2 3 4" xfId="12139"/>
    <cellStyle name="常规 11 2 2 3 5" xfId="12140"/>
    <cellStyle name="常规 11 2 2 3 6" xfId="12141"/>
    <cellStyle name="常规 11 2 2 3 7" xfId="12142"/>
    <cellStyle name="常规 11 2 2 4" xfId="12143"/>
    <cellStyle name="常规 11 2 2 4 2" xfId="12144"/>
    <cellStyle name="常规 11 2 2 4 2 2" xfId="12145"/>
    <cellStyle name="常规 11 2 2 4 2 3" xfId="12146"/>
    <cellStyle name="常规 11 2 2 4 2 4" xfId="12147"/>
    <cellStyle name="常规 11 2 2 4 2 5" xfId="12148"/>
    <cellStyle name="常规 11 2 2 4 2 6" xfId="12149"/>
    <cellStyle name="常规 11 2 2 4 3" xfId="12150"/>
    <cellStyle name="常规 11 2 2 4 4" xfId="12151"/>
    <cellStyle name="常规 11 2 2 4 5" xfId="12152"/>
    <cellStyle name="常规 11 2 2 4 6" xfId="12153"/>
    <cellStyle name="常规 11 2 2 4 7" xfId="12154"/>
    <cellStyle name="常规 11 2 2 5" xfId="12155"/>
    <cellStyle name="常规 11 2 2 5 2" xfId="12156"/>
    <cellStyle name="常规 11 2 2 5 2 2" xfId="12157"/>
    <cellStyle name="常规 11 2 2 5 2 3" xfId="12158"/>
    <cellStyle name="常规 11 2 2 5 2 4" xfId="12159"/>
    <cellStyle name="常规 11 2 2 5 2 5" xfId="12160"/>
    <cellStyle name="常规 11 2 2 5 2 6" xfId="12161"/>
    <cellStyle name="常规 11 2 2 5 3" xfId="12162"/>
    <cellStyle name="常规 11 2 2 5 4" xfId="12163"/>
    <cellStyle name="常规 11 2 2 5 5" xfId="12164"/>
    <cellStyle name="常规 11 2 2 5 6" xfId="12165"/>
    <cellStyle name="常规 11 2 2 5 7" xfId="12166"/>
    <cellStyle name="常规 11 2 2 6" xfId="12167"/>
    <cellStyle name="常规 11 2 2 6 2" xfId="12168"/>
    <cellStyle name="常规 11 2 2 6 2 2" xfId="12169"/>
    <cellStyle name="常规 11 2 2 6 2 3" xfId="12170"/>
    <cellStyle name="常规 11 2 2 6 2 4" xfId="12171"/>
    <cellStyle name="常规 11 2 2 6 2 5" xfId="12172"/>
    <cellStyle name="常规 11 2 2 6 2 6" xfId="12173"/>
    <cellStyle name="常规 11 2 2 6 3" xfId="12174"/>
    <cellStyle name="常规 11 2 2 6 4" xfId="12175"/>
    <cellStyle name="常规 11 2 2 6 5" xfId="12176"/>
    <cellStyle name="常规 11 2 2 6 6" xfId="12177"/>
    <cellStyle name="常规 11 2 2 6 7" xfId="12178"/>
    <cellStyle name="常规 11 2 2 7" xfId="12179"/>
    <cellStyle name="常规 11 2 2 7 2" xfId="12180"/>
    <cellStyle name="常规 11 2 2 7 2 2" xfId="12181"/>
    <cellStyle name="常规 11 2 2 7 2 3" xfId="12182"/>
    <cellStyle name="常规 11 2 2 7 2 4" xfId="12183"/>
    <cellStyle name="常规 11 2 2 7 2 5" xfId="12184"/>
    <cellStyle name="常规 11 2 2 7 2 6" xfId="12185"/>
    <cellStyle name="常规 11 2 2 7 3" xfId="12186"/>
    <cellStyle name="常规 11 2 2 7 4" xfId="12187"/>
    <cellStyle name="常规 11 2 2 7 5" xfId="12188"/>
    <cellStyle name="常规 11 2 2 7 6" xfId="12189"/>
    <cellStyle name="常规 11 2 2 7 7" xfId="12190"/>
    <cellStyle name="常规 11 2 2 8" xfId="12191"/>
    <cellStyle name="常规 11 2 2 8 2" xfId="12192"/>
    <cellStyle name="常规 11 2 2 8 2 2" xfId="12193"/>
    <cellStyle name="常规 11 2 2 8 2 3" xfId="12194"/>
    <cellStyle name="常规 11 2 2 8 2 4" xfId="12195"/>
    <cellStyle name="常规 11 2 2 8 2 5" xfId="12196"/>
    <cellStyle name="常规 11 2 2 8 2 6" xfId="12197"/>
    <cellStyle name="常规 11 2 2 8 3" xfId="12198"/>
    <cellStyle name="常规 11 2 2 8 4" xfId="12199"/>
    <cellStyle name="常规 11 2 2 8 5" xfId="12200"/>
    <cellStyle name="常规 11 2 2 8 6" xfId="12201"/>
    <cellStyle name="常规 11 2 2 8 7" xfId="12202"/>
    <cellStyle name="常规 11 2 2 9" xfId="12203"/>
    <cellStyle name="常规 11 2 2 9 2" xfId="12204"/>
    <cellStyle name="常规 11 2 2 9 2 2" xfId="12205"/>
    <cellStyle name="常规 11 2 2 9 2 3" xfId="12206"/>
    <cellStyle name="常规 11 2 2 9 2 4" xfId="12207"/>
    <cellStyle name="常规 11 2 2 9 2 5" xfId="12208"/>
    <cellStyle name="常规 11 2 2 9 2 6" xfId="12209"/>
    <cellStyle name="常规 11 2 2 9 3" xfId="12210"/>
    <cellStyle name="常规 11 2 2 9 4" xfId="12211"/>
    <cellStyle name="常规 11 2 2 9 5" xfId="12212"/>
    <cellStyle name="常规 11 2 2 9 6" xfId="12213"/>
    <cellStyle name="常规 11 2 2 9 7" xfId="12214"/>
    <cellStyle name="常规 11 2 3" xfId="12215"/>
    <cellStyle name="常规 11 2 3 10" xfId="12216"/>
    <cellStyle name="常规 11 2 3 10 2" xfId="12217"/>
    <cellStyle name="常规 11 2 3 10 3" xfId="12218"/>
    <cellStyle name="常规 11 2 3 10 4" xfId="12219"/>
    <cellStyle name="常规 11 2 3 10 5" xfId="12220"/>
    <cellStyle name="常规 11 2 3 10 6" xfId="12221"/>
    <cellStyle name="常规 11 2 3 11" xfId="12222"/>
    <cellStyle name="常规 11 2 3 12" xfId="12223"/>
    <cellStyle name="常规 11 2 3 13" xfId="12224"/>
    <cellStyle name="常规 11 2 3 14" xfId="12225"/>
    <cellStyle name="常规 11 2 3 15" xfId="12226"/>
    <cellStyle name="常规 11 2 3 2" xfId="12227"/>
    <cellStyle name="常规 11 2 3 2 2" xfId="12228"/>
    <cellStyle name="常规 11 2 3 2 2 2" xfId="12229"/>
    <cellStyle name="常规 11 2 3 2 2 3" xfId="12230"/>
    <cellStyle name="常规 11 2 3 2 2 4" xfId="12231"/>
    <cellStyle name="常规 11 2 3 2 2 5" xfId="12232"/>
    <cellStyle name="常规 11 2 3 2 2 6" xfId="12233"/>
    <cellStyle name="常规 11 2 3 2 3" xfId="12234"/>
    <cellStyle name="常规 11 2 3 2 4" xfId="12235"/>
    <cellStyle name="常规 11 2 3 2 5" xfId="12236"/>
    <cellStyle name="常规 11 2 3 2 6" xfId="12237"/>
    <cellStyle name="常规 11 2 3 2 7" xfId="12238"/>
    <cellStyle name="常规 11 2 3 3" xfId="12239"/>
    <cellStyle name="常规 11 2 3 3 2" xfId="12240"/>
    <cellStyle name="常规 11 2 3 3 2 2" xfId="12241"/>
    <cellStyle name="常规 11 2 3 3 2 3" xfId="12242"/>
    <cellStyle name="常规 11 2 3 3 2 4" xfId="12243"/>
    <cellStyle name="常规 11 2 3 3 2 5" xfId="12244"/>
    <cellStyle name="常规 11 2 3 3 2 6" xfId="12245"/>
    <cellStyle name="常规 11 2 3 3 3" xfId="12246"/>
    <cellStyle name="常规 11 2 3 3 4" xfId="12247"/>
    <cellStyle name="常规 11 2 3 3 5" xfId="12248"/>
    <cellStyle name="常规 11 2 3 3 6" xfId="12249"/>
    <cellStyle name="常规 11 2 3 3 7" xfId="12250"/>
    <cellStyle name="常规 11 2 3 4" xfId="12251"/>
    <cellStyle name="常规 11 2 3 4 2" xfId="12252"/>
    <cellStyle name="常规 11 2 3 4 2 2" xfId="12253"/>
    <cellStyle name="常规 11 2 3 4 2 3" xfId="12254"/>
    <cellStyle name="常规 11 2 3 4 2 4" xfId="12255"/>
    <cellStyle name="常规 11 2 3 4 2 5" xfId="12256"/>
    <cellStyle name="常规 11 2 3 4 2 6" xfId="12257"/>
    <cellStyle name="常规 11 2 3 4 3" xfId="12258"/>
    <cellStyle name="常规 11 2 3 4 4" xfId="12259"/>
    <cellStyle name="常规 11 2 3 4 5" xfId="12260"/>
    <cellStyle name="常规 11 2 3 4 6" xfId="12261"/>
    <cellStyle name="常规 11 2 3 4 7" xfId="12262"/>
    <cellStyle name="常规 11 2 3 5" xfId="12263"/>
    <cellStyle name="常规 11 2 3 5 2" xfId="12264"/>
    <cellStyle name="常规 11 2 3 5 2 2" xfId="12265"/>
    <cellStyle name="常规 11 2 3 5 2 3" xfId="12266"/>
    <cellStyle name="常规 11 2 3 5 2 4" xfId="12267"/>
    <cellStyle name="常规 11 2 3 5 2 5" xfId="12268"/>
    <cellStyle name="常规 11 2 3 5 2 6" xfId="12269"/>
    <cellStyle name="常规 11 2 3 5 3" xfId="12270"/>
    <cellStyle name="常规 11 2 3 5 4" xfId="12271"/>
    <cellStyle name="常规 11 2 3 5 5" xfId="12272"/>
    <cellStyle name="常规 11 2 3 5 6" xfId="12273"/>
    <cellStyle name="常规 11 2 3 5 7" xfId="12274"/>
    <cellStyle name="常规 11 2 3 6" xfId="12275"/>
    <cellStyle name="常规 11 2 3 6 2" xfId="12276"/>
    <cellStyle name="常规 11 2 3 6 2 2" xfId="12277"/>
    <cellStyle name="常规 11 2 3 6 2 3" xfId="12278"/>
    <cellStyle name="常规 11 2 3 6 2 4" xfId="12279"/>
    <cellStyle name="常规 11 2 3 6 2 5" xfId="12280"/>
    <cellStyle name="常规 11 2 3 6 2 6" xfId="12281"/>
    <cellStyle name="常规 11 2 3 6 3" xfId="12282"/>
    <cellStyle name="常规 11 2 3 6 4" xfId="12283"/>
    <cellStyle name="常规 11 2 3 6 5" xfId="12284"/>
    <cellStyle name="常规 11 2 3 6 6" xfId="12285"/>
    <cellStyle name="常规 11 2 3 6 7" xfId="12286"/>
    <cellStyle name="常规 11 2 3 7" xfId="12287"/>
    <cellStyle name="常规 11 2 3 7 2" xfId="12288"/>
    <cellStyle name="常规 11 2 3 7 2 2" xfId="12289"/>
    <cellStyle name="常规 11 2 3 7 2 3" xfId="12290"/>
    <cellStyle name="常规 11 2 3 7 2 4" xfId="12291"/>
    <cellStyle name="常规 11 2 3 7 2 5" xfId="12292"/>
    <cellStyle name="常规 11 2 3 7 2 6" xfId="12293"/>
    <cellStyle name="常规 11 2 3 7 3" xfId="12294"/>
    <cellStyle name="常规 11 2 3 7 4" xfId="12295"/>
    <cellStyle name="常规 11 2 3 7 5" xfId="12296"/>
    <cellStyle name="常规 11 2 3 7 6" xfId="12297"/>
    <cellStyle name="常规 11 2 3 7 7" xfId="12298"/>
    <cellStyle name="常规 11 2 3 8" xfId="12299"/>
    <cellStyle name="常规 11 2 3 8 2" xfId="12300"/>
    <cellStyle name="常规 11 2 3 8 2 2" xfId="12301"/>
    <cellStyle name="常规 11 2 3 8 2 3" xfId="12302"/>
    <cellStyle name="常规 11 2 3 8 2 4" xfId="12303"/>
    <cellStyle name="常规 11 2 3 8 2 5" xfId="12304"/>
    <cellStyle name="常规 11 2 3 8 2 6" xfId="12305"/>
    <cellStyle name="常规 11 2 3 8 3" xfId="12306"/>
    <cellStyle name="常规 11 2 3 8 4" xfId="12307"/>
    <cellStyle name="常规 11 2 3 8 5" xfId="12308"/>
    <cellStyle name="常规 11 2 3 8 6" xfId="12309"/>
    <cellStyle name="常规 11 2 3 8 7" xfId="12310"/>
    <cellStyle name="常规 11 2 3 9" xfId="12311"/>
    <cellStyle name="常规 11 2 3 9 2" xfId="12312"/>
    <cellStyle name="常规 11 2 3 9 2 2" xfId="12313"/>
    <cellStyle name="常规 11 2 3 9 2 3" xfId="12314"/>
    <cellStyle name="常规 11 2 3 9 2 4" xfId="12315"/>
    <cellStyle name="常规 11 2 3 9 2 5" xfId="12316"/>
    <cellStyle name="常规 11 2 3 9 2 6" xfId="12317"/>
    <cellStyle name="常规 11 2 3 9 3" xfId="12318"/>
    <cellStyle name="常规 11 2 3 9 4" xfId="12319"/>
    <cellStyle name="常规 11 2 3 9 5" xfId="12320"/>
    <cellStyle name="常规 11 2 3 9 6" xfId="12321"/>
    <cellStyle name="常规 11 2 3 9 7" xfId="12322"/>
    <cellStyle name="常规 11 2 4" xfId="12323"/>
    <cellStyle name="常规 11 2 4 10" xfId="12324"/>
    <cellStyle name="常规 11 2 4 10 2" xfId="12325"/>
    <cellStyle name="常规 11 2 4 10 3" xfId="12326"/>
    <cellStyle name="常规 11 2 4 10 4" xfId="12327"/>
    <cellStyle name="常规 11 2 4 10 5" xfId="12328"/>
    <cellStyle name="常规 11 2 4 10 6" xfId="12329"/>
    <cellStyle name="常规 11 2 4 11" xfId="12330"/>
    <cellStyle name="常规 11 2 4 12" xfId="12331"/>
    <cellStyle name="常规 11 2 4 13" xfId="12332"/>
    <cellStyle name="常规 11 2 4 14" xfId="12333"/>
    <cellStyle name="常规 11 2 4 15" xfId="12334"/>
    <cellStyle name="常规 11 2 4 2" xfId="12335"/>
    <cellStyle name="常规 11 2 4 2 2" xfId="12336"/>
    <cellStyle name="常规 11 2 4 2 2 2" xfId="12337"/>
    <cellStyle name="常规 11 2 4 2 2 3" xfId="12338"/>
    <cellStyle name="常规 11 2 4 2 2 4" xfId="12339"/>
    <cellStyle name="常规 11 2 4 2 2 5" xfId="12340"/>
    <cellStyle name="常规 11 2 4 2 2 6" xfId="12341"/>
    <cellStyle name="常规 11 2 4 2 3" xfId="12342"/>
    <cellStyle name="常规 11 2 4 2 4" xfId="12343"/>
    <cellStyle name="常规 11 2 4 2 5" xfId="12344"/>
    <cellStyle name="常规 11 2 4 2 6" xfId="12345"/>
    <cellStyle name="常规 11 2 4 2 7" xfId="12346"/>
    <cellStyle name="常规 11 2 4 3" xfId="12347"/>
    <cellStyle name="常规 11 2 4 3 2" xfId="12348"/>
    <cellStyle name="常规 11 2 4 3 2 2" xfId="12349"/>
    <cellStyle name="常规 11 2 4 3 2 3" xfId="12350"/>
    <cellStyle name="常规 11 2 4 3 2 4" xfId="12351"/>
    <cellStyle name="常规 11 2 4 3 2 5" xfId="12352"/>
    <cellStyle name="常规 11 2 4 3 2 6" xfId="12353"/>
    <cellStyle name="常规 11 2 4 3 3" xfId="12354"/>
    <cellStyle name="常规 11 2 4 3 4" xfId="12355"/>
    <cellStyle name="常规 11 2 4 3 5" xfId="12356"/>
    <cellStyle name="常规 11 2 4 3 6" xfId="12357"/>
    <cellStyle name="常规 11 2 4 3 7" xfId="12358"/>
    <cellStyle name="常规 11 2 4 4" xfId="12359"/>
    <cellStyle name="常规 11 2 4 4 2" xfId="12360"/>
    <cellStyle name="常规 11 2 4 4 2 2" xfId="12361"/>
    <cellStyle name="常规 11 2 4 4 2 3" xfId="12362"/>
    <cellStyle name="常规 11 2 4 4 2 4" xfId="12363"/>
    <cellStyle name="常规 11 2 4 4 2 5" xfId="12364"/>
    <cellStyle name="常规 11 2 4 4 2 6" xfId="12365"/>
    <cellStyle name="常规 11 2 4 4 3" xfId="12366"/>
    <cellStyle name="常规 11 2 4 4 4" xfId="12367"/>
    <cellStyle name="常规 11 2 4 4 5" xfId="12368"/>
    <cellStyle name="常规 11 2 4 4 6" xfId="12369"/>
    <cellStyle name="常规 11 2 4 4 7" xfId="12370"/>
    <cellStyle name="常规 11 2 4 5" xfId="12371"/>
    <cellStyle name="常规 11 2 4 5 2" xfId="12372"/>
    <cellStyle name="常规 11 2 4 5 2 2" xfId="12373"/>
    <cellStyle name="常规 11 2 4 5 2 3" xfId="12374"/>
    <cellStyle name="常规 11 2 4 5 2 4" xfId="12375"/>
    <cellStyle name="常规 11 2 4 5 2 5" xfId="12376"/>
    <cellStyle name="常规 11 2 4 5 2 6" xfId="12377"/>
    <cellStyle name="常规 11 2 4 5 3" xfId="12378"/>
    <cellStyle name="常规 11 2 4 5 4" xfId="12379"/>
    <cellStyle name="常规 11 2 4 5 5" xfId="12380"/>
    <cellStyle name="常规 11 2 4 5 6" xfId="12381"/>
    <cellStyle name="常规 11 2 4 5 7" xfId="12382"/>
    <cellStyle name="常规 11 2 4 6" xfId="12383"/>
    <cellStyle name="常规 11 2 4 6 2" xfId="12384"/>
    <cellStyle name="常规 11 2 4 6 2 2" xfId="12385"/>
    <cellStyle name="常规 11 2 4 6 2 3" xfId="12386"/>
    <cellStyle name="常规 11 2 4 6 2 4" xfId="12387"/>
    <cellStyle name="常规 11 2 4 6 2 5" xfId="12388"/>
    <cellStyle name="常规 11 2 4 6 2 6" xfId="12389"/>
    <cellStyle name="常规 11 2 4 6 3" xfId="12390"/>
    <cellStyle name="常规 11 2 4 6 4" xfId="12391"/>
    <cellStyle name="常规 11 2 4 6 5" xfId="12392"/>
    <cellStyle name="常规 11 2 4 6 6" xfId="12393"/>
    <cellStyle name="常规 11 2 4 6 7" xfId="12394"/>
    <cellStyle name="常规 11 2 4 7" xfId="12395"/>
    <cellStyle name="常规 11 2 4 7 2" xfId="12396"/>
    <cellStyle name="常规 11 2 4 7 2 2" xfId="12397"/>
    <cellStyle name="常规 11 2 4 7 2 3" xfId="12398"/>
    <cellStyle name="常规 11 2 4 7 2 4" xfId="12399"/>
    <cellStyle name="常规 11 2 4 7 2 5" xfId="12400"/>
    <cellStyle name="常规 11 2 4 7 2 6" xfId="12401"/>
    <cellStyle name="常规 11 2 4 7 3" xfId="12402"/>
    <cellStyle name="常规 11 2 4 7 4" xfId="12403"/>
    <cellStyle name="常规 11 2 4 7 5" xfId="12404"/>
    <cellStyle name="常规 11 2 4 7 6" xfId="12405"/>
    <cellStyle name="常规 11 2 4 7 7" xfId="12406"/>
    <cellStyle name="常规 11 2 4 8" xfId="12407"/>
    <cellStyle name="常规 11 2 4 8 2" xfId="12408"/>
    <cellStyle name="常规 11 2 4 8 2 2" xfId="12409"/>
    <cellStyle name="常规 11 2 4 8 2 3" xfId="12410"/>
    <cellStyle name="常规 11 2 4 8 2 4" xfId="12411"/>
    <cellStyle name="常规 11 2 4 8 2 5" xfId="12412"/>
    <cellStyle name="常规 11 2 4 8 2 6" xfId="12413"/>
    <cellStyle name="常规 11 2 4 8 3" xfId="12414"/>
    <cellStyle name="常规 11 2 4 8 4" xfId="12415"/>
    <cellStyle name="常规 11 2 4 8 5" xfId="12416"/>
    <cellStyle name="常规 11 2 4 8 6" xfId="12417"/>
    <cellStyle name="常规 11 2 4 8 7" xfId="12418"/>
    <cellStyle name="常规 11 2 4 9" xfId="12419"/>
    <cellStyle name="常规 11 2 4 9 2" xfId="12420"/>
    <cellStyle name="常规 11 2 4 9 2 2" xfId="12421"/>
    <cellStyle name="常规 11 2 4 9 2 3" xfId="12422"/>
    <cellStyle name="常规 11 2 4 9 2 4" xfId="12423"/>
    <cellStyle name="常规 11 2 4 9 2 5" xfId="12424"/>
    <cellStyle name="常规 11 2 4 9 2 6" xfId="12425"/>
    <cellStyle name="常规 11 2 4 9 3" xfId="12426"/>
    <cellStyle name="常规 11 2 4 9 4" xfId="12427"/>
    <cellStyle name="常规 11 2 4 9 5" xfId="12428"/>
    <cellStyle name="常规 11 2 4 9 6" xfId="12429"/>
    <cellStyle name="常规 11 2 4 9 7" xfId="12430"/>
    <cellStyle name="常规 11 2 5" xfId="12431"/>
    <cellStyle name="常规 11 2 5 10" xfId="12432"/>
    <cellStyle name="常规 11 2 5 11" xfId="12433"/>
    <cellStyle name="常规 11 2 5 12" xfId="12434"/>
    <cellStyle name="常规 11 2 5 13" xfId="12435"/>
    <cellStyle name="常规 11 2 5 14" xfId="12436"/>
    <cellStyle name="常规 11 2 5 2" xfId="12437"/>
    <cellStyle name="常规 11 2 5 2 2" xfId="12438"/>
    <cellStyle name="常规 11 2 5 2 2 2" xfId="12439"/>
    <cellStyle name="常规 11 2 5 2 2 3" xfId="12440"/>
    <cellStyle name="常规 11 2 5 2 2 4" xfId="12441"/>
    <cellStyle name="常规 11 2 5 2 2 5" xfId="12442"/>
    <cellStyle name="常规 11 2 5 2 2 6" xfId="12443"/>
    <cellStyle name="常规 11 2 5 2 3" xfId="12444"/>
    <cellStyle name="常规 11 2 5 2 4" xfId="12445"/>
    <cellStyle name="常规 11 2 5 2 5" xfId="12446"/>
    <cellStyle name="常规 11 2 5 2 6" xfId="12447"/>
    <cellStyle name="常规 11 2 5 2 7" xfId="12448"/>
    <cellStyle name="常规 11 2 5 3" xfId="12449"/>
    <cellStyle name="常规 11 2 5 3 2" xfId="12450"/>
    <cellStyle name="常规 11 2 5 3 2 2" xfId="12451"/>
    <cellStyle name="常规 11 2 5 3 2 3" xfId="12452"/>
    <cellStyle name="常规 11 2 5 3 2 4" xfId="12453"/>
    <cellStyle name="常规 11 2 5 3 2 5" xfId="12454"/>
    <cellStyle name="常规 11 2 5 3 2 6" xfId="12455"/>
    <cellStyle name="常规 11 2 5 3 3" xfId="12456"/>
    <cellStyle name="常规 11 2 5 3 4" xfId="12457"/>
    <cellStyle name="常规 11 2 5 3 5" xfId="12458"/>
    <cellStyle name="常规 11 2 5 3 6" xfId="12459"/>
    <cellStyle name="常规 11 2 5 3 7" xfId="12460"/>
    <cellStyle name="常规 11 2 5 4" xfId="12461"/>
    <cellStyle name="常规 11 2 5 4 2" xfId="12462"/>
    <cellStyle name="常规 11 2 5 4 2 2" xfId="12463"/>
    <cellStyle name="常规 11 2 5 4 2 3" xfId="12464"/>
    <cellStyle name="常规 11 2 5 4 2 4" xfId="12465"/>
    <cellStyle name="常规 11 2 5 4 2 5" xfId="12466"/>
    <cellStyle name="常规 11 2 5 4 2 6" xfId="12467"/>
    <cellStyle name="常规 11 2 5 4 3" xfId="12468"/>
    <cellStyle name="常规 11 2 5 4 4" xfId="12469"/>
    <cellStyle name="常规 11 2 5 4 5" xfId="12470"/>
    <cellStyle name="常规 11 2 5 4 6" xfId="12471"/>
    <cellStyle name="常规 11 2 5 4 7" xfId="12472"/>
    <cellStyle name="常规 11 2 5 5" xfId="12473"/>
    <cellStyle name="常规 11 2 5 5 2" xfId="12474"/>
    <cellStyle name="常规 11 2 5 5 2 2" xfId="12475"/>
    <cellStyle name="常规 11 2 5 5 2 3" xfId="12476"/>
    <cellStyle name="常规 11 2 5 5 2 4" xfId="12477"/>
    <cellStyle name="常规 11 2 5 5 2 5" xfId="12478"/>
    <cellStyle name="常规 11 2 5 5 2 6" xfId="12479"/>
    <cellStyle name="常规 11 2 5 5 3" xfId="12480"/>
    <cellStyle name="常规 11 2 5 5 4" xfId="12481"/>
    <cellStyle name="常规 11 2 5 5 5" xfId="12482"/>
    <cellStyle name="常规 11 2 5 5 6" xfId="12483"/>
    <cellStyle name="常规 11 2 5 5 7" xfId="12484"/>
    <cellStyle name="常规 11 2 5 6" xfId="12485"/>
    <cellStyle name="常规 11 2 5 6 2" xfId="12486"/>
    <cellStyle name="常规 11 2 5 6 2 2" xfId="12487"/>
    <cellStyle name="常规 11 2 5 6 2 3" xfId="12488"/>
    <cellStyle name="常规 11 2 5 6 2 4" xfId="12489"/>
    <cellStyle name="常规 11 2 5 6 2 5" xfId="12490"/>
    <cellStyle name="常规 11 2 5 6 2 6" xfId="12491"/>
    <cellStyle name="常规 11 2 5 6 3" xfId="12492"/>
    <cellStyle name="常规 11 2 5 6 4" xfId="12493"/>
    <cellStyle name="常规 11 2 5 6 5" xfId="12494"/>
    <cellStyle name="常规 11 2 5 6 6" xfId="12495"/>
    <cellStyle name="常规 11 2 5 6 7" xfId="12496"/>
    <cellStyle name="常规 11 2 5 7" xfId="12497"/>
    <cellStyle name="常规 11 2 5 7 2" xfId="12498"/>
    <cellStyle name="常规 11 2 5 7 2 2" xfId="12499"/>
    <cellStyle name="常规 11 2 5 7 2 3" xfId="12500"/>
    <cellStyle name="常规 11 2 5 7 2 4" xfId="12501"/>
    <cellStyle name="常规 11 2 5 7 2 5" xfId="12502"/>
    <cellStyle name="常规 11 2 5 7 2 6" xfId="12503"/>
    <cellStyle name="常规 11 2 5 7 3" xfId="12504"/>
    <cellStyle name="常规 11 2 5 7 4" xfId="12505"/>
    <cellStyle name="常规 11 2 5 7 5" xfId="12506"/>
    <cellStyle name="常规 11 2 5 7 6" xfId="12507"/>
    <cellStyle name="常规 11 2 5 7 7" xfId="12508"/>
    <cellStyle name="常规 11 2 5 8" xfId="12509"/>
    <cellStyle name="常规 11 2 5 8 2" xfId="12510"/>
    <cellStyle name="常规 11 2 5 8 2 2" xfId="12511"/>
    <cellStyle name="常规 11 2 5 8 2 3" xfId="12512"/>
    <cellStyle name="常规 11 2 5 8 2 4" xfId="12513"/>
    <cellStyle name="常规 11 2 5 8 2 5" xfId="12514"/>
    <cellStyle name="常规 11 2 5 8 2 6" xfId="12515"/>
    <cellStyle name="常规 11 2 5 8 3" xfId="12516"/>
    <cellStyle name="常规 11 2 5 8 4" xfId="12517"/>
    <cellStyle name="常规 11 2 5 8 5" xfId="12518"/>
    <cellStyle name="常规 11 2 5 8 6" xfId="12519"/>
    <cellStyle name="常规 11 2 5 8 7" xfId="12520"/>
    <cellStyle name="常规 11 2 5 9" xfId="12521"/>
    <cellStyle name="常规 11 2 5 9 2" xfId="12522"/>
    <cellStyle name="常规 11 2 5 9 3" xfId="12523"/>
    <cellStyle name="常规 11 2 5 9 4" xfId="12524"/>
    <cellStyle name="常规 11 2 5 9 5" xfId="12525"/>
    <cellStyle name="常规 11 2 5 9 6" xfId="12526"/>
    <cellStyle name="常规 11 2 6" xfId="12527"/>
    <cellStyle name="常规 11 2 6 10" xfId="12528"/>
    <cellStyle name="常规 11 2 6 11" xfId="12529"/>
    <cellStyle name="常规 11 2 6 12" xfId="12530"/>
    <cellStyle name="常规 11 2 6 13" xfId="12531"/>
    <cellStyle name="常规 11 2 6 2" xfId="12532"/>
    <cellStyle name="常规 11 2 6 2 2" xfId="12533"/>
    <cellStyle name="常规 11 2 6 2 2 2" xfId="12534"/>
    <cellStyle name="常规 11 2 6 2 2 3" xfId="12535"/>
    <cellStyle name="常规 11 2 6 2 2 4" xfId="12536"/>
    <cellStyle name="常规 11 2 6 2 2 5" xfId="12537"/>
    <cellStyle name="常规 11 2 6 2 2 6" xfId="12538"/>
    <cellStyle name="常规 11 2 6 2 3" xfId="12539"/>
    <cellStyle name="常规 11 2 6 2 4" xfId="12540"/>
    <cellStyle name="常规 11 2 6 2 5" xfId="12541"/>
    <cellStyle name="常规 11 2 6 2 6" xfId="12542"/>
    <cellStyle name="常规 11 2 6 2 7" xfId="12543"/>
    <cellStyle name="常规 11 2 6 3" xfId="12544"/>
    <cellStyle name="常规 11 2 6 3 2" xfId="12545"/>
    <cellStyle name="常规 11 2 6 3 2 2" xfId="12546"/>
    <cellStyle name="常规 11 2 6 3 2 3" xfId="12547"/>
    <cellStyle name="常规 11 2 6 3 2 4" xfId="12548"/>
    <cellStyle name="常规 11 2 6 3 2 5" xfId="12549"/>
    <cellStyle name="常规 11 2 6 3 2 6" xfId="12550"/>
    <cellStyle name="常规 11 2 6 3 3" xfId="12551"/>
    <cellStyle name="常规 11 2 6 3 4" xfId="12552"/>
    <cellStyle name="常规 11 2 6 3 5" xfId="12553"/>
    <cellStyle name="常规 11 2 6 3 6" xfId="12554"/>
    <cellStyle name="常规 11 2 6 3 7" xfId="12555"/>
    <cellStyle name="常规 11 2 6 4" xfId="12556"/>
    <cellStyle name="常规 11 2 6 4 2" xfId="12557"/>
    <cellStyle name="常规 11 2 6 4 2 2" xfId="12558"/>
    <cellStyle name="常规 11 2 6 4 2 3" xfId="12559"/>
    <cellStyle name="常规 11 2 6 4 2 4" xfId="12560"/>
    <cellStyle name="常规 11 2 6 4 2 5" xfId="12561"/>
    <cellStyle name="常规 11 2 6 4 2 6" xfId="12562"/>
    <cellStyle name="常规 11 2 6 4 3" xfId="12563"/>
    <cellStyle name="常规 11 2 6 4 4" xfId="12564"/>
    <cellStyle name="常规 11 2 6 4 5" xfId="12565"/>
    <cellStyle name="常规 11 2 6 4 6" xfId="12566"/>
    <cellStyle name="常规 11 2 6 4 7" xfId="12567"/>
    <cellStyle name="常规 11 2 6 5" xfId="12568"/>
    <cellStyle name="常规 11 2 6 5 2" xfId="12569"/>
    <cellStyle name="常规 11 2 6 5 2 2" xfId="12570"/>
    <cellStyle name="常规 11 2 6 5 2 3" xfId="12571"/>
    <cellStyle name="常规 11 2 6 5 2 4" xfId="12572"/>
    <cellStyle name="常规 11 2 6 5 2 5" xfId="12573"/>
    <cellStyle name="常规 11 2 6 5 2 6" xfId="12574"/>
    <cellStyle name="常规 11 2 6 5 3" xfId="12575"/>
    <cellStyle name="常规 11 2 6 5 4" xfId="12576"/>
    <cellStyle name="常规 11 2 6 5 5" xfId="12577"/>
    <cellStyle name="常规 11 2 6 5 6" xfId="12578"/>
    <cellStyle name="常规 11 2 6 5 7" xfId="12579"/>
    <cellStyle name="常规 11 2 6 6" xfId="12580"/>
    <cellStyle name="常规 11 2 6 6 2" xfId="12581"/>
    <cellStyle name="常规 11 2 6 6 2 2" xfId="12582"/>
    <cellStyle name="常规 11 2 6 6 2 3" xfId="12583"/>
    <cellStyle name="常规 11 2 6 6 2 4" xfId="12584"/>
    <cellStyle name="常规 11 2 6 6 2 5" xfId="12585"/>
    <cellStyle name="常规 11 2 6 6 2 6" xfId="12586"/>
    <cellStyle name="常规 11 2 6 6 3" xfId="12587"/>
    <cellStyle name="常规 11 2 6 6 4" xfId="12588"/>
    <cellStyle name="常规 11 2 6 6 5" xfId="12589"/>
    <cellStyle name="常规 11 2 6 6 6" xfId="12590"/>
    <cellStyle name="常规 11 2 6 6 7" xfId="12591"/>
    <cellStyle name="常规 11 2 6 7" xfId="12592"/>
    <cellStyle name="常规 11 2 6 7 2" xfId="12593"/>
    <cellStyle name="常规 11 2 6 7 2 2" xfId="12594"/>
    <cellStyle name="常规 11 2 6 7 2 3" xfId="12595"/>
    <cellStyle name="常规 11 2 6 7 2 4" xfId="12596"/>
    <cellStyle name="常规 11 2 6 7 2 5" xfId="12597"/>
    <cellStyle name="常规 11 2 6 7 2 6" xfId="12598"/>
    <cellStyle name="常规 11 2 6 7 3" xfId="12599"/>
    <cellStyle name="常规 11 2 6 7 4" xfId="12600"/>
    <cellStyle name="常规 11 2 6 7 5" xfId="12601"/>
    <cellStyle name="常规 11 2 6 7 6" xfId="12602"/>
    <cellStyle name="常规 11 2 6 7 7" xfId="12603"/>
    <cellStyle name="常规 11 2 6 8" xfId="12604"/>
    <cellStyle name="常规 11 2 6 8 2" xfId="12605"/>
    <cellStyle name="常规 11 2 6 8 3" xfId="12606"/>
    <cellStyle name="常规 11 2 6 8 4" xfId="12607"/>
    <cellStyle name="常规 11 2 6 8 5" xfId="12608"/>
    <cellStyle name="常规 11 2 6 8 6" xfId="12609"/>
    <cellStyle name="常规 11 2 6 9" xfId="12610"/>
    <cellStyle name="常规 11 2 7" xfId="12611"/>
    <cellStyle name="常规 11 2 7 10" xfId="12612"/>
    <cellStyle name="常规 11 2 7 11" xfId="12613"/>
    <cellStyle name="常规 11 2 7 12" xfId="12614"/>
    <cellStyle name="常规 11 2 7 2" xfId="12615"/>
    <cellStyle name="常规 11 2 7 2 2" xfId="12616"/>
    <cellStyle name="常规 11 2 7 2 2 2" xfId="12617"/>
    <cellStyle name="常规 11 2 7 2 2 3" xfId="12618"/>
    <cellStyle name="常规 11 2 7 2 2 4" xfId="12619"/>
    <cellStyle name="常规 11 2 7 2 2 5" xfId="12620"/>
    <cellStyle name="常规 11 2 7 2 2 6" xfId="12621"/>
    <cellStyle name="常规 11 2 7 2 3" xfId="12622"/>
    <cellStyle name="常规 11 2 7 2 4" xfId="12623"/>
    <cellStyle name="常规 11 2 7 2 5" xfId="12624"/>
    <cellStyle name="常规 11 2 7 2 6" xfId="12625"/>
    <cellStyle name="常规 11 2 7 2 7" xfId="12626"/>
    <cellStyle name="常规 11 2 7 3" xfId="12627"/>
    <cellStyle name="常规 11 2 7 3 2" xfId="12628"/>
    <cellStyle name="常规 11 2 7 3 2 2" xfId="12629"/>
    <cellStyle name="常规 11 2 7 3 2 3" xfId="12630"/>
    <cellStyle name="常规 11 2 7 3 2 4" xfId="12631"/>
    <cellStyle name="常规 11 2 7 3 2 5" xfId="12632"/>
    <cellStyle name="常规 11 2 7 3 2 6" xfId="12633"/>
    <cellStyle name="常规 11 2 7 3 3" xfId="12634"/>
    <cellStyle name="常规 11 2 7 3 4" xfId="12635"/>
    <cellStyle name="常规 11 2 7 3 5" xfId="12636"/>
    <cellStyle name="常规 11 2 7 3 6" xfId="12637"/>
    <cellStyle name="常规 11 2 7 3 7" xfId="12638"/>
    <cellStyle name="常规 11 2 7 4" xfId="12639"/>
    <cellStyle name="常规 11 2 7 4 2" xfId="12640"/>
    <cellStyle name="常规 11 2 7 4 2 2" xfId="12641"/>
    <cellStyle name="常规 11 2 7 4 2 3" xfId="12642"/>
    <cellStyle name="常规 11 2 7 4 2 4" xfId="12643"/>
    <cellStyle name="常规 11 2 7 4 2 5" xfId="12644"/>
    <cellStyle name="常规 11 2 7 4 2 6" xfId="12645"/>
    <cellStyle name="常规 11 2 7 4 3" xfId="12646"/>
    <cellStyle name="常规 11 2 7 4 4" xfId="12647"/>
    <cellStyle name="常规 11 2 7 4 5" xfId="12648"/>
    <cellStyle name="常规 11 2 7 4 6" xfId="12649"/>
    <cellStyle name="常规 11 2 7 4 7" xfId="12650"/>
    <cellStyle name="常规 11 2 7 5" xfId="12651"/>
    <cellStyle name="常规 11 2 7 5 2" xfId="12652"/>
    <cellStyle name="常规 11 2 7 5 2 2" xfId="12653"/>
    <cellStyle name="常规 11 2 7 5 2 3" xfId="12654"/>
    <cellStyle name="常规 11 2 7 5 2 4" xfId="12655"/>
    <cellStyle name="常规 11 2 7 5 2 5" xfId="12656"/>
    <cellStyle name="常规 11 2 7 5 2 6" xfId="12657"/>
    <cellStyle name="常规 11 2 7 5 3" xfId="12658"/>
    <cellStyle name="常规 11 2 7 5 4" xfId="12659"/>
    <cellStyle name="常规 11 2 7 5 5" xfId="12660"/>
    <cellStyle name="常规 11 2 7 5 6" xfId="12661"/>
    <cellStyle name="常规 11 2 7 5 7" xfId="12662"/>
    <cellStyle name="常规 11 2 7 6" xfId="12663"/>
    <cellStyle name="常规 11 2 7 6 2" xfId="12664"/>
    <cellStyle name="常规 11 2 7 6 2 2" xfId="12665"/>
    <cellStyle name="常规 11 2 7 6 2 3" xfId="12666"/>
    <cellStyle name="常规 11 2 7 6 2 4" xfId="12667"/>
    <cellStyle name="常规 11 2 7 6 2 5" xfId="12668"/>
    <cellStyle name="常规 11 2 7 6 2 6" xfId="12669"/>
    <cellStyle name="常规 11 2 7 6 3" xfId="12670"/>
    <cellStyle name="常规 11 2 7 6 4" xfId="12671"/>
    <cellStyle name="常规 11 2 7 6 5" xfId="12672"/>
    <cellStyle name="常规 11 2 7 6 6" xfId="12673"/>
    <cellStyle name="常规 11 2 7 6 7" xfId="12674"/>
    <cellStyle name="常规 11 2 7 7" xfId="12675"/>
    <cellStyle name="常规 11 2 7 7 2" xfId="12676"/>
    <cellStyle name="常规 11 2 7 7 3" xfId="12677"/>
    <cellStyle name="常规 11 2 7 7 4" xfId="12678"/>
    <cellStyle name="常规 11 2 7 7 5" xfId="12679"/>
    <cellStyle name="常规 11 2 7 7 6" xfId="12680"/>
    <cellStyle name="常规 11 2 7 8" xfId="12681"/>
    <cellStyle name="常规 11 2 7 9" xfId="12682"/>
    <cellStyle name="常规 11 2 8" xfId="12683"/>
    <cellStyle name="常规 11 2 8 10" xfId="12684"/>
    <cellStyle name="常规 11 2 8 11" xfId="12685"/>
    <cellStyle name="常规 11 2 8 2" xfId="12686"/>
    <cellStyle name="常规 11 2 8 2 2" xfId="12687"/>
    <cellStyle name="常规 11 2 8 2 2 2" xfId="12688"/>
    <cellStyle name="常规 11 2 8 2 2 3" xfId="12689"/>
    <cellStyle name="常规 11 2 8 2 2 4" xfId="12690"/>
    <cellStyle name="常规 11 2 8 2 2 5" xfId="12691"/>
    <cellStyle name="常规 11 2 8 2 2 6" xfId="12692"/>
    <cellStyle name="常规 11 2 8 2 3" xfId="12693"/>
    <cellStyle name="常规 11 2 8 2 4" xfId="12694"/>
    <cellStyle name="常规 11 2 8 2 5" xfId="12695"/>
    <cellStyle name="常规 11 2 8 2 6" xfId="12696"/>
    <cellStyle name="常规 11 2 8 2 7" xfId="12697"/>
    <cellStyle name="常规 11 2 8 3" xfId="12698"/>
    <cellStyle name="常规 11 2 8 3 2" xfId="12699"/>
    <cellStyle name="常规 11 2 8 3 2 2" xfId="12700"/>
    <cellStyle name="常规 11 2 8 3 2 3" xfId="12701"/>
    <cellStyle name="常规 11 2 8 3 2 4" xfId="12702"/>
    <cellStyle name="常规 11 2 8 3 2 5" xfId="12703"/>
    <cellStyle name="常规 11 2 8 3 2 6" xfId="12704"/>
    <cellStyle name="常规 11 2 8 3 3" xfId="12705"/>
    <cellStyle name="常规 11 2 8 3 4" xfId="12706"/>
    <cellStyle name="常规 11 2 8 3 5" xfId="12707"/>
    <cellStyle name="常规 11 2 8 3 6" xfId="12708"/>
    <cellStyle name="常规 11 2 8 3 7" xfId="12709"/>
    <cellStyle name="常规 11 2 8 4" xfId="12710"/>
    <cellStyle name="常规 11 2 8 4 2" xfId="12711"/>
    <cellStyle name="常规 11 2 8 4 2 2" xfId="12712"/>
    <cellStyle name="常规 11 2 8 4 2 3" xfId="12713"/>
    <cellStyle name="常规 11 2 8 4 2 4" xfId="12714"/>
    <cellStyle name="常规 11 2 8 4 2 5" xfId="12715"/>
    <cellStyle name="常规 11 2 8 4 2 6" xfId="12716"/>
    <cellStyle name="常规 11 2 8 4 3" xfId="12717"/>
    <cellStyle name="常规 11 2 8 4 4" xfId="12718"/>
    <cellStyle name="常规 11 2 8 4 5" xfId="12719"/>
    <cellStyle name="常规 11 2 8 4 6" xfId="12720"/>
    <cellStyle name="常规 11 2 8 4 7" xfId="12721"/>
    <cellStyle name="常规 11 2 8 5" xfId="12722"/>
    <cellStyle name="常规 11 2 8 5 2" xfId="12723"/>
    <cellStyle name="常规 11 2 8 5 2 2" xfId="12724"/>
    <cellStyle name="常规 11 2 8 5 2 3" xfId="12725"/>
    <cellStyle name="常规 11 2 8 5 2 4" xfId="12726"/>
    <cellStyle name="常规 11 2 8 5 2 5" xfId="12727"/>
    <cellStyle name="常规 11 2 8 5 2 6" xfId="12728"/>
    <cellStyle name="常规 11 2 8 5 3" xfId="12729"/>
    <cellStyle name="常规 11 2 8 5 4" xfId="12730"/>
    <cellStyle name="常规 11 2 8 5 5" xfId="12731"/>
    <cellStyle name="常规 11 2 8 5 6" xfId="12732"/>
    <cellStyle name="常规 11 2 8 5 7" xfId="12733"/>
    <cellStyle name="常规 11 2 8 6" xfId="12734"/>
    <cellStyle name="常规 11 2 8 6 2" xfId="12735"/>
    <cellStyle name="常规 11 2 8 6 3" xfId="12736"/>
    <cellStyle name="常规 11 2 8 6 4" xfId="12737"/>
    <cellStyle name="常规 11 2 8 6 5" xfId="12738"/>
    <cellStyle name="常规 11 2 8 6 6" xfId="12739"/>
    <cellStyle name="常规 11 2 8 7" xfId="12740"/>
    <cellStyle name="常规 11 2 8 8" xfId="12741"/>
    <cellStyle name="常规 11 2 8 9" xfId="12742"/>
    <cellStyle name="常规 11 2 9" xfId="12743"/>
    <cellStyle name="常规 11 2 9 10" xfId="12744"/>
    <cellStyle name="常规 11 2 9 2" xfId="12745"/>
    <cellStyle name="常规 11 2 9 2 2" xfId="12746"/>
    <cellStyle name="常规 11 2 9 2 2 2" xfId="12747"/>
    <cellStyle name="常规 11 2 9 2 2 3" xfId="12748"/>
    <cellStyle name="常规 11 2 9 2 2 4" xfId="12749"/>
    <cellStyle name="常规 11 2 9 2 2 5" xfId="12750"/>
    <cellStyle name="常规 11 2 9 2 2 6" xfId="12751"/>
    <cellStyle name="常规 11 2 9 2 3" xfId="12752"/>
    <cellStyle name="常规 11 2 9 2 4" xfId="12753"/>
    <cellStyle name="常规 11 2 9 2 5" xfId="12754"/>
    <cellStyle name="常规 11 2 9 2 6" xfId="12755"/>
    <cellStyle name="常规 11 2 9 2 7" xfId="12756"/>
    <cellStyle name="常规 11 2 9 3" xfId="12757"/>
    <cellStyle name="常规 11 2 9 3 2" xfId="12758"/>
    <cellStyle name="常规 11 2 9 3 2 2" xfId="12759"/>
    <cellStyle name="常规 11 2 9 3 2 3" xfId="12760"/>
    <cellStyle name="常规 11 2 9 3 2 4" xfId="12761"/>
    <cellStyle name="常规 11 2 9 3 2 5" xfId="12762"/>
    <cellStyle name="常规 11 2 9 3 2 6" xfId="12763"/>
    <cellStyle name="常规 11 2 9 3 3" xfId="12764"/>
    <cellStyle name="常规 11 2 9 3 4" xfId="12765"/>
    <cellStyle name="常规 11 2 9 3 5" xfId="12766"/>
    <cellStyle name="常规 11 2 9 3 6" xfId="12767"/>
    <cellStyle name="常规 11 2 9 3 7" xfId="12768"/>
    <cellStyle name="常规 11 2 9 4" xfId="12769"/>
    <cellStyle name="常规 11 2 9 4 2" xfId="12770"/>
    <cellStyle name="常规 11 2 9 4 2 2" xfId="12771"/>
    <cellStyle name="常规 11 2 9 4 2 3" xfId="12772"/>
    <cellStyle name="常规 11 2 9 4 2 4" xfId="12773"/>
    <cellStyle name="常规 11 2 9 4 2 5" xfId="12774"/>
    <cellStyle name="常规 11 2 9 4 2 6" xfId="12775"/>
    <cellStyle name="常规 11 2 9 4 3" xfId="12776"/>
    <cellStyle name="常规 11 2 9 4 4" xfId="12777"/>
    <cellStyle name="常规 11 2 9 4 5" xfId="12778"/>
    <cellStyle name="常规 11 2 9 4 6" xfId="12779"/>
    <cellStyle name="常规 11 2 9 4 7" xfId="12780"/>
    <cellStyle name="常规 11 2 9 5" xfId="12781"/>
    <cellStyle name="常规 11 2 9 5 2" xfId="12782"/>
    <cellStyle name="常规 11 2 9 5 3" xfId="12783"/>
    <cellStyle name="常规 11 2 9 5 4" xfId="12784"/>
    <cellStyle name="常规 11 2 9 5 5" xfId="12785"/>
    <cellStyle name="常规 11 2 9 5 6" xfId="12786"/>
    <cellStyle name="常规 11 2 9 6" xfId="12787"/>
    <cellStyle name="常规 11 2 9 7" xfId="12788"/>
    <cellStyle name="常规 11 2 9 8" xfId="12789"/>
    <cellStyle name="常规 11 2 9 9" xfId="12790"/>
    <cellStyle name="常规 11 20" xfId="12791"/>
    <cellStyle name="常规 11 21" xfId="12792"/>
    <cellStyle name="常规 11 22" xfId="12793"/>
    <cellStyle name="常规 11 23" xfId="12794"/>
    <cellStyle name="常规 11 3" xfId="12795"/>
    <cellStyle name="常规 11 3 10" xfId="12796"/>
    <cellStyle name="常规 11 3 10 2" xfId="12797"/>
    <cellStyle name="常规 11 3 10 2 2" xfId="12798"/>
    <cellStyle name="常规 11 3 10 2 3" xfId="12799"/>
    <cellStyle name="常规 11 3 10 2 4" xfId="12800"/>
    <cellStyle name="常规 11 3 10 2 5" xfId="12801"/>
    <cellStyle name="常规 11 3 10 2 6" xfId="12802"/>
    <cellStyle name="常规 11 3 10 3" xfId="12803"/>
    <cellStyle name="常规 11 3 10 4" xfId="12804"/>
    <cellStyle name="常规 11 3 10 5" xfId="12805"/>
    <cellStyle name="常规 11 3 10 6" xfId="12806"/>
    <cellStyle name="常规 11 3 10 7" xfId="12807"/>
    <cellStyle name="常规 11 3 11" xfId="12808"/>
    <cellStyle name="常规 11 3 2" xfId="12809"/>
    <cellStyle name="常规 11 3 2 2" xfId="12810"/>
    <cellStyle name="常规 11 3 2 2 2" xfId="12811"/>
    <cellStyle name="常规 11 3 2 2 3" xfId="12812"/>
    <cellStyle name="常规 11 3 2 2 4" xfId="12813"/>
    <cellStyle name="常规 11 3 2 2 5" xfId="12814"/>
    <cellStyle name="常规 11 3 2 2 6" xfId="12815"/>
    <cellStyle name="常规 11 3 2 3" xfId="12816"/>
    <cellStyle name="常规 11 3 2 4" xfId="12817"/>
    <cellStyle name="常规 11 3 2 5" xfId="12818"/>
    <cellStyle name="常规 11 3 2 6" xfId="12819"/>
    <cellStyle name="常规 11 3 2 7" xfId="12820"/>
    <cellStyle name="常规 11 3 2 8" xfId="12821"/>
    <cellStyle name="常规 11 3 3" xfId="12822"/>
    <cellStyle name="常规 11 3 3 2" xfId="12823"/>
    <cellStyle name="常规 11 3 3 2 2" xfId="12824"/>
    <cellStyle name="常规 11 3 3 2 3" xfId="12825"/>
    <cellStyle name="常规 11 3 3 2 4" xfId="12826"/>
    <cellStyle name="常规 11 3 3 2 5" xfId="12827"/>
    <cellStyle name="常规 11 3 3 2 6" xfId="12828"/>
    <cellStyle name="常规 11 3 3 3" xfId="12829"/>
    <cellStyle name="常规 11 3 3 4" xfId="12830"/>
    <cellStyle name="常规 11 3 3 5" xfId="12831"/>
    <cellStyle name="常规 11 3 3 6" xfId="12832"/>
    <cellStyle name="常规 11 3 3 7" xfId="12833"/>
    <cellStyle name="常规 11 3 4" xfId="12834"/>
    <cellStyle name="常规 11 3 4 2" xfId="12835"/>
    <cellStyle name="常规 11 3 4 2 2" xfId="12836"/>
    <cellStyle name="常规 11 3 4 2 3" xfId="12837"/>
    <cellStyle name="常规 11 3 4 2 4" xfId="12838"/>
    <cellStyle name="常规 11 3 4 2 5" xfId="12839"/>
    <cellStyle name="常规 11 3 4 2 6" xfId="12840"/>
    <cellStyle name="常规 11 3 4 3" xfId="12841"/>
    <cellStyle name="常规 11 3 4 4" xfId="12842"/>
    <cellStyle name="常规 11 3 4 5" xfId="12843"/>
    <cellStyle name="常规 11 3 4 6" xfId="12844"/>
    <cellStyle name="常规 11 3 4 7" xfId="12845"/>
    <cellStyle name="常规 11 3 5" xfId="12846"/>
    <cellStyle name="常规 11 3 5 2" xfId="12847"/>
    <cellStyle name="常规 11 3 5 2 2" xfId="12848"/>
    <cellStyle name="常规 11 3 5 2 3" xfId="12849"/>
    <cellStyle name="常规 11 3 5 2 4" xfId="12850"/>
    <cellStyle name="常规 11 3 5 2 5" xfId="12851"/>
    <cellStyle name="常规 11 3 5 2 6" xfId="12852"/>
    <cellStyle name="常规 11 3 5 3" xfId="12853"/>
    <cellStyle name="常规 11 3 5 4" xfId="12854"/>
    <cellStyle name="常规 11 3 5 5" xfId="12855"/>
    <cellStyle name="常规 11 3 5 6" xfId="12856"/>
    <cellStyle name="常规 11 3 5 7" xfId="12857"/>
    <cellStyle name="常规 11 3 6" xfId="12858"/>
    <cellStyle name="常规 11 3 6 2" xfId="12859"/>
    <cellStyle name="常规 11 3 6 2 2" xfId="12860"/>
    <cellStyle name="常规 11 3 6 2 3" xfId="12861"/>
    <cellStyle name="常规 11 3 6 2 4" xfId="12862"/>
    <cellStyle name="常规 11 3 6 2 5" xfId="12863"/>
    <cellStyle name="常规 11 3 6 2 6" xfId="12864"/>
    <cellStyle name="常规 11 3 6 3" xfId="12865"/>
    <cellStyle name="常规 11 3 6 4" xfId="12866"/>
    <cellStyle name="常规 11 3 6 5" xfId="12867"/>
    <cellStyle name="常规 11 3 6 6" xfId="12868"/>
    <cellStyle name="常规 11 3 6 7" xfId="12869"/>
    <cellStyle name="常规 11 3 7" xfId="12870"/>
    <cellStyle name="常规 11 3 7 2" xfId="12871"/>
    <cellStyle name="常规 11 3 7 2 2" xfId="12872"/>
    <cellStyle name="常规 11 3 7 2 3" xfId="12873"/>
    <cellStyle name="常规 11 3 7 2 4" xfId="12874"/>
    <cellStyle name="常规 11 3 7 2 5" xfId="12875"/>
    <cellStyle name="常规 11 3 7 2 6" xfId="12876"/>
    <cellStyle name="常规 11 3 7 3" xfId="12877"/>
    <cellStyle name="常规 11 3 7 4" xfId="12878"/>
    <cellStyle name="常规 11 3 7 5" xfId="12879"/>
    <cellStyle name="常规 11 3 7 6" xfId="12880"/>
    <cellStyle name="常规 11 3 7 7" xfId="12881"/>
    <cellStyle name="常规 11 3 8" xfId="12882"/>
    <cellStyle name="常规 11 3 8 2" xfId="12883"/>
    <cellStyle name="常规 11 3 8 2 2" xfId="12884"/>
    <cellStyle name="常规 11 3 8 2 3" xfId="12885"/>
    <cellStyle name="常规 11 3 8 2 4" xfId="12886"/>
    <cellStyle name="常规 11 3 8 2 5" xfId="12887"/>
    <cellStyle name="常规 11 3 8 2 6" xfId="12888"/>
    <cellStyle name="常规 11 3 8 3" xfId="12889"/>
    <cellStyle name="常规 11 3 8 4" xfId="12890"/>
    <cellStyle name="常规 11 3 8 5" xfId="12891"/>
    <cellStyle name="常规 11 3 8 6" xfId="12892"/>
    <cellStyle name="常规 11 3 8 7" xfId="12893"/>
    <cellStyle name="常规 11 3 9" xfId="12894"/>
    <cellStyle name="常规 11 3 9 2" xfId="12895"/>
    <cellStyle name="常规 11 3 9 2 2" xfId="12896"/>
    <cellStyle name="常规 11 3 9 2 3" xfId="12897"/>
    <cellStyle name="常规 11 3 9 2 4" xfId="12898"/>
    <cellStyle name="常规 11 3 9 2 5" xfId="12899"/>
    <cellStyle name="常规 11 3 9 2 6" xfId="12900"/>
    <cellStyle name="常规 11 3 9 3" xfId="12901"/>
    <cellStyle name="常规 11 3 9 4" xfId="12902"/>
    <cellStyle name="常规 11 3 9 5" xfId="12903"/>
    <cellStyle name="常规 11 3 9 6" xfId="12904"/>
    <cellStyle name="常规 11 3 9 7" xfId="12905"/>
    <cellStyle name="常规 11 4" xfId="12906"/>
    <cellStyle name="常规 11 4 10" xfId="12907"/>
    <cellStyle name="常规 11 4 2" xfId="12908"/>
    <cellStyle name="常规 11 4 2 2" xfId="12909"/>
    <cellStyle name="常规 11 4 2 2 2" xfId="12910"/>
    <cellStyle name="常规 11 4 2 2 3" xfId="12911"/>
    <cellStyle name="常规 11 4 2 2 4" xfId="12912"/>
    <cellStyle name="常规 11 4 2 2 5" xfId="12913"/>
    <cellStyle name="常规 11 4 2 2 6" xfId="12914"/>
    <cellStyle name="常规 11 4 2 3" xfId="12915"/>
    <cellStyle name="常规 11 4 2 4" xfId="12916"/>
    <cellStyle name="常规 11 4 2 5" xfId="12917"/>
    <cellStyle name="常规 11 4 2 6" xfId="12918"/>
    <cellStyle name="常规 11 4 2 7" xfId="12919"/>
    <cellStyle name="常规 11 4 3" xfId="12920"/>
    <cellStyle name="常规 11 4 3 2" xfId="12921"/>
    <cellStyle name="常规 11 4 3 2 2" xfId="12922"/>
    <cellStyle name="常规 11 4 3 2 3" xfId="12923"/>
    <cellStyle name="常规 11 4 3 2 4" xfId="12924"/>
    <cellStyle name="常规 11 4 3 2 5" xfId="12925"/>
    <cellStyle name="常规 11 4 3 2 6" xfId="12926"/>
    <cellStyle name="常规 11 4 3 3" xfId="12927"/>
    <cellStyle name="常规 11 4 3 4" xfId="12928"/>
    <cellStyle name="常规 11 4 3 5" xfId="12929"/>
    <cellStyle name="常规 11 4 3 6" xfId="12930"/>
    <cellStyle name="常规 11 4 3 7" xfId="12931"/>
    <cellStyle name="常规 11 4 4" xfId="12932"/>
    <cellStyle name="常规 11 4 4 2" xfId="12933"/>
    <cellStyle name="常规 11 4 4 2 2" xfId="12934"/>
    <cellStyle name="常规 11 4 4 2 3" xfId="12935"/>
    <cellStyle name="常规 11 4 4 2 4" xfId="12936"/>
    <cellStyle name="常规 11 4 4 2 5" xfId="12937"/>
    <cellStyle name="常规 11 4 4 2 6" xfId="12938"/>
    <cellStyle name="常规 11 4 4 3" xfId="12939"/>
    <cellStyle name="常规 11 4 4 4" xfId="12940"/>
    <cellStyle name="常规 11 4 4 5" xfId="12941"/>
    <cellStyle name="常规 11 4 4 6" xfId="12942"/>
    <cellStyle name="常规 11 4 4 7" xfId="12943"/>
    <cellStyle name="常规 11 4 5" xfId="12944"/>
    <cellStyle name="常规 11 4 5 2" xfId="12945"/>
    <cellStyle name="常规 11 4 5 2 2" xfId="12946"/>
    <cellStyle name="常规 11 4 5 2 3" xfId="12947"/>
    <cellStyle name="常规 11 4 5 2 4" xfId="12948"/>
    <cellStyle name="常规 11 4 5 2 5" xfId="12949"/>
    <cellStyle name="常规 11 4 5 2 6" xfId="12950"/>
    <cellStyle name="常规 11 4 5 3" xfId="12951"/>
    <cellStyle name="常规 11 4 5 4" xfId="12952"/>
    <cellStyle name="常规 11 4 5 5" xfId="12953"/>
    <cellStyle name="常规 11 4 5 6" xfId="12954"/>
    <cellStyle name="常规 11 4 5 7" xfId="12955"/>
    <cellStyle name="常规 11 4 6" xfId="12956"/>
    <cellStyle name="常规 11 4 6 2" xfId="12957"/>
    <cellStyle name="常规 11 4 6 2 2" xfId="12958"/>
    <cellStyle name="常规 11 4 6 2 3" xfId="12959"/>
    <cellStyle name="常规 11 4 6 2 4" xfId="12960"/>
    <cellStyle name="常规 11 4 6 2 5" xfId="12961"/>
    <cellStyle name="常规 11 4 6 2 6" xfId="12962"/>
    <cellStyle name="常规 11 4 6 3" xfId="12963"/>
    <cellStyle name="常规 11 4 6 4" xfId="12964"/>
    <cellStyle name="常规 11 4 6 5" xfId="12965"/>
    <cellStyle name="常规 11 4 6 6" xfId="12966"/>
    <cellStyle name="常规 11 4 6 7" xfId="12967"/>
    <cellStyle name="常规 11 4 7" xfId="12968"/>
    <cellStyle name="常规 11 4 7 2" xfId="12969"/>
    <cellStyle name="常规 11 4 7 2 2" xfId="12970"/>
    <cellStyle name="常规 11 4 7 2 3" xfId="12971"/>
    <cellStyle name="常规 11 4 7 2 4" xfId="12972"/>
    <cellStyle name="常规 11 4 7 2 5" xfId="12973"/>
    <cellStyle name="常规 11 4 7 2 6" xfId="12974"/>
    <cellStyle name="常规 11 4 7 3" xfId="12975"/>
    <cellStyle name="常规 11 4 7 4" xfId="12976"/>
    <cellStyle name="常规 11 4 7 5" xfId="12977"/>
    <cellStyle name="常规 11 4 7 6" xfId="12978"/>
    <cellStyle name="常规 11 4 7 7" xfId="12979"/>
    <cellStyle name="常规 11 4 8" xfId="12980"/>
    <cellStyle name="常规 11 4 8 2" xfId="12981"/>
    <cellStyle name="常规 11 4 8 2 2" xfId="12982"/>
    <cellStyle name="常规 11 4 8 2 3" xfId="12983"/>
    <cellStyle name="常规 11 4 8 2 4" xfId="12984"/>
    <cellStyle name="常规 11 4 8 2 5" xfId="12985"/>
    <cellStyle name="常规 11 4 8 2 6" xfId="12986"/>
    <cellStyle name="常规 11 4 8 3" xfId="12987"/>
    <cellStyle name="常规 11 4 8 4" xfId="12988"/>
    <cellStyle name="常规 11 4 8 5" xfId="12989"/>
    <cellStyle name="常规 11 4 8 6" xfId="12990"/>
    <cellStyle name="常规 11 4 8 7" xfId="12991"/>
    <cellStyle name="常规 11 4 9" xfId="12992"/>
    <cellStyle name="常规 11 4 9 2" xfId="12993"/>
    <cellStyle name="常规 11 4 9 2 2" xfId="12994"/>
    <cellStyle name="常规 11 4 9 2 3" xfId="12995"/>
    <cellStyle name="常规 11 4 9 2 4" xfId="12996"/>
    <cellStyle name="常规 11 4 9 2 5" xfId="12997"/>
    <cellStyle name="常规 11 4 9 2 6" xfId="12998"/>
    <cellStyle name="常规 11 4 9 3" xfId="12999"/>
    <cellStyle name="常规 11 4 9 4" xfId="13000"/>
    <cellStyle name="常规 11 4 9 5" xfId="13001"/>
    <cellStyle name="常规 11 4 9 6" xfId="13002"/>
    <cellStyle name="常规 11 4 9 7" xfId="13003"/>
    <cellStyle name="常规 11 5" xfId="13004"/>
    <cellStyle name="常规 11 5 2" xfId="13005"/>
    <cellStyle name="常规 11 5 2 2" xfId="13006"/>
    <cellStyle name="常规 11 5 2 2 2" xfId="13007"/>
    <cellStyle name="常规 11 5 2 2 3" xfId="13008"/>
    <cellStyle name="常规 11 5 2 2 4" xfId="13009"/>
    <cellStyle name="常规 11 5 2 2 5" xfId="13010"/>
    <cellStyle name="常规 11 5 2 2 6" xfId="13011"/>
    <cellStyle name="常规 11 5 2 3" xfId="13012"/>
    <cellStyle name="常规 11 5 2 4" xfId="13013"/>
    <cellStyle name="常规 11 5 2 5" xfId="13014"/>
    <cellStyle name="常规 11 5 2 6" xfId="13015"/>
    <cellStyle name="常规 11 5 2 7" xfId="13016"/>
    <cellStyle name="常规 11 5 3" xfId="13017"/>
    <cellStyle name="常规 11 5 3 2" xfId="13018"/>
    <cellStyle name="常规 11 5 3 2 2" xfId="13019"/>
    <cellStyle name="常规 11 5 3 2 3" xfId="13020"/>
    <cellStyle name="常规 11 5 3 2 4" xfId="13021"/>
    <cellStyle name="常规 11 5 3 2 5" xfId="13022"/>
    <cellStyle name="常规 11 5 3 2 6" xfId="13023"/>
    <cellStyle name="常规 11 5 3 3" xfId="13024"/>
    <cellStyle name="常规 11 5 3 4" xfId="13025"/>
    <cellStyle name="常规 11 5 3 5" xfId="13026"/>
    <cellStyle name="常规 11 5 3 6" xfId="13027"/>
    <cellStyle name="常规 11 5 3 7" xfId="13028"/>
    <cellStyle name="常规 11 5 4" xfId="13029"/>
    <cellStyle name="常规 11 5 4 2" xfId="13030"/>
    <cellStyle name="常规 11 5 4 2 2" xfId="13031"/>
    <cellStyle name="常规 11 5 4 2 3" xfId="13032"/>
    <cellStyle name="常规 11 5 4 2 4" xfId="13033"/>
    <cellStyle name="常规 11 5 4 2 5" xfId="13034"/>
    <cellStyle name="常规 11 5 4 2 6" xfId="13035"/>
    <cellStyle name="常规 11 5 4 3" xfId="13036"/>
    <cellStyle name="常规 11 5 4 4" xfId="13037"/>
    <cellStyle name="常规 11 5 4 5" xfId="13038"/>
    <cellStyle name="常规 11 5 4 6" xfId="13039"/>
    <cellStyle name="常规 11 5 4 7" xfId="13040"/>
    <cellStyle name="常规 11 5 5" xfId="13041"/>
    <cellStyle name="常规 11 5 5 2" xfId="13042"/>
    <cellStyle name="常规 11 5 5 2 2" xfId="13043"/>
    <cellStyle name="常规 11 5 5 2 3" xfId="13044"/>
    <cellStyle name="常规 11 5 5 2 4" xfId="13045"/>
    <cellStyle name="常规 11 5 5 2 5" xfId="13046"/>
    <cellStyle name="常规 11 5 5 2 6" xfId="13047"/>
    <cellStyle name="常规 11 5 5 3" xfId="13048"/>
    <cellStyle name="常规 11 5 5 4" xfId="13049"/>
    <cellStyle name="常规 11 5 5 5" xfId="13050"/>
    <cellStyle name="常规 11 5 5 6" xfId="13051"/>
    <cellStyle name="常规 11 5 5 7" xfId="13052"/>
    <cellStyle name="常规 11 5 6" xfId="13053"/>
    <cellStyle name="常规 11 5 6 2" xfId="13054"/>
    <cellStyle name="常规 11 5 6 2 2" xfId="13055"/>
    <cellStyle name="常规 11 5 6 2 3" xfId="13056"/>
    <cellStyle name="常规 11 5 6 2 4" xfId="13057"/>
    <cellStyle name="常规 11 5 6 2 5" xfId="13058"/>
    <cellStyle name="常规 11 5 6 2 6" xfId="13059"/>
    <cellStyle name="常规 11 5 6 3" xfId="13060"/>
    <cellStyle name="常规 11 5 6 4" xfId="13061"/>
    <cellStyle name="常规 11 5 6 5" xfId="13062"/>
    <cellStyle name="常规 11 5 6 6" xfId="13063"/>
    <cellStyle name="常规 11 5 6 7" xfId="13064"/>
    <cellStyle name="常规 11 5 7" xfId="13065"/>
    <cellStyle name="常规 11 5 7 2" xfId="13066"/>
    <cellStyle name="常规 11 5 7 2 2" xfId="13067"/>
    <cellStyle name="常规 11 5 7 2 3" xfId="13068"/>
    <cellStyle name="常规 11 5 7 2 4" xfId="13069"/>
    <cellStyle name="常规 11 5 7 2 5" xfId="13070"/>
    <cellStyle name="常规 11 5 7 2 6" xfId="13071"/>
    <cellStyle name="常规 11 5 7 3" xfId="13072"/>
    <cellStyle name="常规 11 5 7 4" xfId="13073"/>
    <cellStyle name="常规 11 5 7 5" xfId="13074"/>
    <cellStyle name="常规 11 5 7 6" xfId="13075"/>
    <cellStyle name="常规 11 5 7 7" xfId="13076"/>
    <cellStyle name="常规 11 5 8" xfId="13077"/>
    <cellStyle name="常规 11 5 8 2" xfId="13078"/>
    <cellStyle name="常规 11 5 8 2 2" xfId="13079"/>
    <cellStyle name="常规 11 5 8 2 3" xfId="13080"/>
    <cellStyle name="常规 11 5 8 2 4" xfId="13081"/>
    <cellStyle name="常规 11 5 8 2 5" xfId="13082"/>
    <cellStyle name="常规 11 5 8 2 6" xfId="13083"/>
    <cellStyle name="常规 11 5 8 3" xfId="13084"/>
    <cellStyle name="常规 11 5 8 4" xfId="13085"/>
    <cellStyle name="常规 11 5 8 5" xfId="13086"/>
    <cellStyle name="常规 11 5 8 6" xfId="13087"/>
    <cellStyle name="常规 11 5 8 7" xfId="13088"/>
    <cellStyle name="常规 11 5 9" xfId="13089"/>
    <cellStyle name="常规 11 5 9 2" xfId="13090"/>
    <cellStyle name="常规 11 5 9 2 2" xfId="13091"/>
    <cellStyle name="常规 11 5 9 2 3" xfId="13092"/>
    <cellStyle name="常规 11 5 9 2 4" xfId="13093"/>
    <cellStyle name="常规 11 5 9 2 5" xfId="13094"/>
    <cellStyle name="常规 11 5 9 2 6" xfId="13095"/>
    <cellStyle name="常规 11 5 9 3" xfId="13096"/>
    <cellStyle name="常规 11 5 9 4" xfId="13097"/>
    <cellStyle name="常规 11 5 9 5" xfId="13098"/>
    <cellStyle name="常规 11 5 9 6" xfId="13099"/>
    <cellStyle name="常规 11 5 9 7" xfId="13100"/>
    <cellStyle name="常规 11 6" xfId="13101"/>
    <cellStyle name="常规 11 6 10" xfId="13102"/>
    <cellStyle name="常规 11 6 11" xfId="13103"/>
    <cellStyle name="常规 11 6 12" xfId="13104"/>
    <cellStyle name="常规 11 6 13" xfId="13105"/>
    <cellStyle name="常规 11 6 14" xfId="13106"/>
    <cellStyle name="常规 11 6 2" xfId="13107"/>
    <cellStyle name="常规 11 6 2 2" xfId="13108"/>
    <cellStyle name="常规 11 6 2 2 2" xfId="13109"/>
    <cellStyle name="常规 11 6 2 2 3" xfId="13110"/>
    <cellStyle name="常规 11 6 2 2 4" xfId="13111"/>
    <cellStyle name="常规 11 6 2 2 5" xfId="13112"/>
    <cellStyle name="常规 11 6 2 2 6" xfId="13113"/>
    <cellStyle name="常规 11 6 2 3" xfId="13114"/>
    <cellStyle name="常规 11 6 2 4" xfId="13115"/>
    <cellStyle name="常规 11 6 2 5" xfId="13116"/>
    <cellStyle name="常规 11 6 2 6" xfId="13117"/>
    <cellStyle name="常规 11 6 2 7" xfId="13118"/>
    <cellStyle name="常规 11 6 3" xfId="13119"/>
    <cellStyle name="常规 11 6 3 2" xfId="13120"/>
    <cellStyle name="常规 11 6 3 2 2" xfId="13121"/>
    <cellStyle name="常规 11 6 3 2 3" xfId="13122"/>
    <cellStyle name="常规 11 6 3 2 4" xfId="13123"/>
    <cellStyle name="常规 11 6 3 2 5" xfId="13124"/>
    <cellStyle name="常规 11 6 3 2 6" xfId="13125"/>
    <cellStyle name="常规 11 6 3 3" xfId="13126"/>
    <cellStyle name="常规 11 6 3 4" xfId="13127"/>
    <cellStyle name="常规 11 6 3 5" xfId="13128"/>
    <cellStyle name="常规 11 6 3 6" xfId="13129"/>
    <cellStyle name="常规 11 6 3 7" xfId="13130"/>
    <cellStyle name="常规 11 6 4" xfId="13131"/>
    <cellStyle name="常规 11 6 4 2" xfId="13132"/>
    <cellStyle name="常规 11 6 4 2 2" xfId="13133"/>
    <cellStyle name="常规 11 6 4 2 3" xfId="13134"/>
    <cellStyle name="常规 11 6 4 2 4" xfId="13135"/>
    <cellStyle name="常规 11 6 4 2 5" xfId="13136"/>
    <cellStyle name="常规 11 6 4 2 6" xfId="13137"/>
    <cellStyle name="常规 11 6 4 3" xfId="13138"/>
    <cellStyle name="常规 11 6 4 4" xfId="13139"/>
    <cellStyle name="常规 11 6 4 5" xfId="13140"/>
    <cellStyle name="常规 11 6 4 6" xfId="13141"/>
    <cellStyle name="常规 11 6 4 7" xfId="13142"/>
    <cellStyle name="常规 11 6 5" xfId="13143"/>
    <cellStyle name="常规 11 6 5 2" xfId="13144"/>
    <cellStyle name="常规 11 6 5 2 2" xfId="13145"/>
    <cellStyle name="常规 11 6 5 2 3" xfId="13146"/>
    <cellStyle name="常规 11 6 5 2 4" xfId="13147"/>
    <cellStyle name="常规 11 6 5 2 5" xfId="13148"/>
    <cellStyle name="常规 11 6 5 2 6" xfId="13149"/>
    <cellStyle name="常规 11 6 5 3" xfId="13150"/>
    <cellStyle name="常规 11 6 5 4" xfId="13151"/>
    <cellStyle name="常规 11 6 5 5" xfId="13152"/>
    <cellStyle name="常规 11 6 5 6" xfId="13153"/>
    <cellStyle name="常规 11 6 5 7" xfId="13154"/>
    <cellStyle name="常规 11 6 6" xfId="13155"/>
    <cellStyle name="常规 11 6 6 2" xfId="13156"/>
    <cellStyle name="常规 11 6 6 2 2" xfId="13157"/>
    <cellStyle name="常规 11 6 6 2 3" xfId="13158"/>
    <cellStyle name="常规 11 6 6 2 4" xfId="13159"/>
    <cellStyle name="常规 11 6 6 2 5" xfId="13160"/>
    <cellStyle name="常规 11 6 6 2 6" xfId="13161"/>
    <cellStyle name="常规 11 6 6 3" xfId="13162"/>
    <cellStyle name="常规 11 6 6 4" xfId="13163"/>
    <cellStyle name="常规 11 6 6 5" xfId="13164"/>
    <cellStyle name="常规 11 6 6 6" xfId="13165"/>
    <cellStyle name="常规 11 6 6 7" xfId="13166"/>
    <cellStyle name="常规 11 6 7" xfId="13167"/>
    <cellStyle name="常规 11 6 7 2" xfId="13168"/>
    <cellStyle name="常规 11 6 7 2 2" xfId="13169"/>
    <cellStyle name="常规 11 6 7 2 3" xfId="13170"/>
    <cellStyle name="常规 11 6 7 2 4" xfId="13171"/>
    <cellStyle name="常规 11 6 7 2 5" xfId="13172"/>
    <cellStyle name="常规 11 6 7 2 6" xfId="13173"/>
    <cellStyle name="常规 11 6 7 3" xfId="13174"/>
    <cellStyle name="常规 11 6 7 4" xfId="13175"/>
    <cellStyle name="常规 11 6 7 5" xfId="13176"/>
    <cellStyle name="常规 11 6 7 6" xfId="13177"/>
    <cellStyle name="常规 11 6 7 7" xfId="13178"/>
    <cellStyle name="常规 11 6 8" xfId="13179"/>
    <cellStyle name="常规 11 6 8 2" xfId="13180"/>
    <cellStyle name="常规 11 6 8 2 2" xfId="13181"/>
    <cellStyle name="常规 11 6 8 2 3" xfId="13182"/>
    <cellStyle name="常规 11 6 8 2 4" xfId="13183"/>
    <cellStyle name="常规 11 6 8 2 5" xfId="13184"/>
    <cellStyle name="常规 11 6 8 2 6" xfId="13185"/>
    <cellStyle name="常规 11 6 8 3" xfId="13186"/>
    <cellStyle name="常规 11 6 8 4" xfId="13187"/>
    <cellStyle name="常规 11 6 8 5" xfId="13188"/>
    <cellStyle name="常规 11 6 8 6" xfId="13189"/>
    <cellStyle name="常规 11 6 8 7" xfId="13190"/>
    <cellStyle name="常规 11 6 9" xfId="13191"/>
    <cellStyle name="常规 11 6 9 2" xfId="13192"/>
    <cellStyle name="常规 11 6 9 3" xfId="13193"/>
    <cellStyle name="常规 11 6 9 4" xfId="13194"/>
    <cellStyle name="常规 11 6 9 5" xfId="13195"/>
    <cellStyle name="常规 11 6 9 6" xfId="13196"/>
    <cellStyle name="常规 11 7" xfId="13197"/>
    <cellStyle name="常规 11 7 10" xfId="13198"/>
    <cellStyle name="常规 11 7 11" xfId="13199"/>
    <cellStyle name="常规 11 7 12" xfId="13200"/>
    <cellStyle name="常规 11 7 13" xfId="13201"/>
    <cellStyle name="常规 11 7 2" xfId="13202"/>
    <cellStyle name="常规 11 7 2 2" xfId="13203"/>
    <cellStyle name="常规 11 7 2 2 2" xfId="13204"/>
    <cellStyle name="常规 11 7 2 2 3" xfId="13205"/>
    <cellStyle name="常规 11 7 2 2 4" xfId="13206"/>
    <cellStyle name="常规 11 7 2 2 5" xfId="13207"/>
    <cellStyle name="常规 11 7 2 2 6" xfId="13208"/>
    <cellStyle name="常规 11 7 2 3" xfId="13209"/>
    <cellStyle name="常规 11 7 2 4" xfId="13210"/>
    <cellStyle name="常规 11 7 2 5" xfId="13211"/>
    <cellStyle name="常规 11 7 2 6" xfId="13212"/>
    <cellStyle name="常规 11 7 2 7" xfId="13213"/>
    <cellStyle name="常规 11 7 3" xfId="13214"/>
    <cellStyle name="常规 11 7 3 2" xfId="13215"/>
    <cellStyle name="常规 11 7 3 2 2" xfId="13216"/>
    <cellStyle name="常规 11 7 3 2 3" xfId="13217"/>
    <cellStyle name="常规 11 7 3 2 4" xfId="13218"/>
    <cellStyle name="常规 11 7 3 2 5" xfId="13219"/>
    <cellStyle name="常规 11 7 3 2 6" xfId="13220"/>
    <cellStyle name="常规 11 7 3 3" xfId="13221"/>
    <cellStyle name="常规 11 7 3 4" xfId="13222"/>
    <cellStyle name="常规 11 7 3 5" xfId="13223"/>
    <cellStyle name="常规 11 7 3 6" xfId="13224"/>
    <cellStyle name="常规 11 7 3 7" xfId="13225"/>
    <cellStyle name="常规 11 7 4" xfId="13226"/>
    <cellStyle name="常规 11 7 4 2" xfId="13227"/>
    <cellStyle name="常规 11 7 4 2 2" xfId="13228"/>
    <cellStyle name="常规 11 7 4 2 3" xfId="13229"/>
    <cellStyle name="常规 11 7 4 2 4" xfId="13230"/>
    <cellStyle name="常规 11 7 4 2 5" xfId="13231"/>
    <cellStyle name="常规 11 7 4 2 6" xfId="13232"/>
    <cellStyle name="常规 11 7 4 3" xfId="13233"/>
    <cellStyle name="常规 11 7 4 4" xfId="13234"/>
    <cellStyle name="常规 11 7 4 5" xfId="13235"/>
    <cellStyle name="常规 11 7 4 6" xfId="13236"/>
    <cellStyle name="常规 11 7 4 7" xfId="13237"/>
    <cellStyle name="常规 11 7 5" xfId="13238"/>
    <cellStyle name="常规 11 7 5 2" xfId="13239"/>
    <cellStyle name="常规 11 7 5 2 2" xfId="13240"/>
    <cellStyle name="常规 11 7 5 2 3" xfId="13241"/>
    <cellStyle name="常规 11 7 5 2 4" xfId="13242"/>
    <cellStyle name="常规 11 7 5 2 5" xfId="13243"/>
    <cellStyle name="常规 11 7 5 2 6" xfId="13244"/>
    <cellStyle name="常规 11 7 5 3" xfId="13245"/>
    <cellStyle name="常规 11 7 5 4" xfId="13246"/>
    <cellStyle name="常规 11 7 5 5" xfId="13247"/>
    <cellStyle name="常规 11 7 5 6" xfId="13248"/>
    <cellStyle name="常规 11 7 5 7" xfId="13249"/>
    <cellStyle name="常规 11 7 6" xfId="13250"/>
    <cellStyle name="常规 11 7 6 2" xfId="13251"/>
    <cellStyle name="常规 11 7 6 2 2" xfId="13252"/>
    <cellStyle name="常规 11 7 6 2 3" xfId="13253"/>
    <cellStyle name="常规 11 7 6 2 4" xfId="13254"/>
    <cellStyle name="常规 11 7 6 2 5" xfId="13255"/>
    <cellStyle name="常规 11 7 6 2 6" xfId="13256"/>
    <cellStyle name="常规 11 7 6 3" xfId="13257"/>
    <cellStyle name="常规 11 7 6 4" xfId="13258"/>
    <cellStyle name="常规 11 7 6 5" xfId="13259"/>
    <cellStyle name="常规 11 7 6 6" xfId="13260"/>
    <cellStyle name="常规 11 7 6 7" xfId="13261"/>
    <cellStyle name="常规 11 7 7" xfId="13262"/>
    <cellStyle name="常规 11 7 7 2" xfId="13263"/>
    <cellStyle name="常规 11 7 7 2 2" xfId="13264"/>
    <cellStyle name="常规 11 7 7 2 3" xfId="13265"/>
    <cellStyle name="常规 11 7 7 2 4" xfId="13266"/>
    <cellStyle name="常规 11 7 7 2 5" xfId="13267"/>
    <cellStyle name="常规 11 7 7 2 6" xfId="13268"/>
    <cellStyle name="常规 11 7 7 3" xfId="13269"/>
    <cellStyle name="常规 11 7 7 4" xfId="13270"/>
    <cellStyle name="常规 11 7 7 5" xfId="13271"/>
    <cellStyle name="常规 11 7 7 6" xfId="13272"/>
    <cellStyle name="常规 11 7 7 7" xfId="13273"/>
    <cellStyle name="常规 11 7 8" xfId="13274"/>
    <cellStyle name="常规 11 7 8 2" xfId="13275"/>
    <cellStyle name="常规 11 7 8 3" xfId="13276"/>
    <cellStyle name="常规 11 7 8 4" xfId="13277"/>
    <cellStyle name="常规 11 7 8 5" xfId="13278"/>
    <cellStyle name="常规 11 7 8 6" xfId="13279"/>
    <cellStyle name="常规 11 7 9" xfId="13280"/>
    <cellStyle name="常规 11 8" xfId="13281"/>
    <cellStyle name="常规 11 8 10" xfId="13282"/>
    <cellStyle name="常规 11 8 11" xfId="13283"/>
    <cellStyle name="常规 11 8 12" xfId="13284"/>
    <cellStyle name="常规 11 8 2" xfId="13285"/>
    <cellStyle name="常规 11 8 2 2" xfId="13286"/>
    <cellStyle name="常规 11 8 2 2 2" xfId="13287"/>
    <cellStyle name="常规 11 8 2 2 3" xfId="13288"/>
    <cellStyle name="常规 11 8 2 2 4" xfId="13289"/>
    <cellStyle name="常规 11 8 2 2 5" xfId="13290"/>
    <cellStyle name="常规 11 8 2 2 6" xfId="13291"/>
    <cellStyle name="常规 11 8 2 3" xfId="13292"/>
    <cellStyle name="常规 11 8 2 4" xfId="13293"/>
    <cellStyle name="常规 11 8 2 5" xfId="13294"/>
    <cellStyle name="常规 11 8 2 6" xfId="13295"/>
    <cellStyle name="常规 11 8 2 7" xfId="13296"/>
    <cellStyle name="常规 11 8 3" xfId="13297"/>
    <cellStyle name="常规 11 8 3 2" xfId="13298"/>
    <cellStyle name="常规 11 8 3 2 2" xfId="13299"/>
    <cellStyle name="常规 11 8 3 2 3" xfId="13300"/>
    <cellStyle name="常规 11 8 3 2 4" xfId="13301"/>
    <cellStyle name="常规 11 8 3 2 5" xfId="13302"/>
    <cellStyle name="常规 11 8 3 2 6" xfId="13303"/>
    <cellStyle name="常规 11 8 3 3" xfId="13304"/>
    <cellStyle name="常规 11 8 3 4" xfId="13305"/>
    <cellStyle name="常规 11 8 3 5" xfId="13306"/>
    <cellStyle name="常规 11 8 3 6" xfId="13307"/>
    <cellStyle name="常规 11 8 3 7" xfId="13308"/>
    <cellStyle name="常规 11 8 4" xfId="13309"/>
    <cellStyle name="常规 11 8 4 2" xfId="13310"/>
    <cellStyle name="常规 11 8 4 2 2" xfId="13311"/>
    <cellStyle name="常规 11 8 4 2 3" xfId="13312"/>
    <cellStyle name="常规 11 8 4 2 4" xfId="13313"/>
    <cellStyle name="常规 11 8 4 2 5" xfId="13314"/>
    <cellStyle name="常规 11 8 4 2 6" xfId="13315"/>
    <cellStyle name="常规 11 8 4 3" xfId="13316"/>
    <cellStyle name="常规 11 8 4 4" xfId="13317"/>
    <cellStyle name="常规 11 8 4 5" xfId="13318"/>
    <cellStyle name="常规 11 8 4 6" xfId="13319"/>
    <cellStyle name="常规 11 8 4 7" xfId="13320"/>
    <cellStyle name="常规 11 8 5" xfId="13321"/>
    <cellStyle name="常规 11 8 5 2" xfId="13322"/>
    <cellStyle name="常规 11 8 5 2 2" xfId="13323"/>
    <cellStyle name="常规 11 8 5 2 3" xfId="13324"/>
    <cellStyle name="常规 11 8 5 2 4" xfId="13325"/>
    <cellStyle name="常规 11 8 5 2 5" xfId="13326"/>
    <cellStyle name="常规 11 8 5 2 6" xfId="13327"/>
    <cellStyle name="常规 11 8 5 3" xfId="13328"/>
    <cellStyle name="常规 11 8 5 4" xfId="13329"/>
    <cellStyle name="常规 11 8 5 5" xfId="13330"/>
    <cellStyle name="常规 11 8 5 6" xfId="13331"/>
    <cellStyle name="常规 11 8 5 7" xfId="13332"/>
    <cellStyle name="常规 11 8 6" xfId="13333"/>
    <cellStyle name="常规 11 8 6 2" xfId="13334"/>
    <cellStyle name="常规 11 8 6 2 2" xfId="13335"/>
    <cellStyle name="常规 11 8 6 2 3" xfId="13336"/>
    <cellStyle name="常规 11 8 6 2 4" xfId="13337"/>
    <cellStyle name="常规 11 8 6 2 5" xfId="13338"/>
    <cellStyle name="常规 11 8 6 2 6" xfId="13339"/>
    <cellStyle name="常规 11 8 6 3" xfId="13340"/>
    <cellStyle name="常规 11 8 6 4" xfId="13341"/>
    <cellStyle name="常规 11 8 6 5" xfId="13342"/>
    <cellStyle name="常规 11 8 6 6" xfId="13343"/>
    <cellStyle name="常规 11 8 6 7" xfId="13344"/>
    <cellStyle name="常规 11 8 7" xfId="13345"/>
    <cellStyle name="常规 11 8 7 2" xfId="13346"/>
    <cellStyle name="常规 11 8 7 3" xfId="13347"/>
    <cellStyle name="常规 11 8 7 4" xfId="13348"/>
    <cellStyle name="常规 11 8 7 5" xfId="13349"/>
    <cellStyle name="常规 11 8 7 6" xfId="13350"/>
    <cellStyle name="常规 11 8 8" xfId="13351"/>
    <cellStyle name="常规 11 8 9" xfId="13352"/>
    <cellStyle name="常规 11 9" xfId="13353"/>
    <cellStyle name="常规 11 9 10" xfId="13354"/>
    <cellStyle name="常规 11 9 11" xfId="13355"/>
    <cellStyle name="常规 11 9 2" xfId="13356"/>
    <cellStyle name="常规 11 9 2 2" xfId="13357"/>
    <cellStyle name="常规 11 9 2 2 2" xfId="13358"/>
    <cellStyle name="常规 11 9 2 2 3" xfId="13359"/>
    <cellStyle name="常规 11 9 2 2 4" xfId="13360"/>
    <cellStyle name="常规 11 9 2 2 5" xfId="13361"/>
    <cellStyle name="常规 11 9 2 2 6" xfId="13362"/>
    <cellStyle name="常规 11 9 2 3" xfId="13363"/>
    <cellStyle name="常规 11 9 2 4" xfId="13364"/>
    <cellStyle name="常规 11 9 2 5" xfId="13365"/>
    <cellStyle name="常规 11 9 2 6" xfId="13366"/>
    <cellStyle name="常规 11 9 2 7" xfId="13367"/>
    <cellStyle name="常规 11 9 3" xfId="13368"/>
    <cellStyle name="常规 11 9 3 2" xfId="13369"/>
    <cellStyle name="常规 11 9 3 2 2" xfId="13370"/>
    <cellStyle name="常规 11 9 3 2 3" xfId="13371"/>
    <cellStyle name="常规 11 9 3 2 4" xfId="13372"/>
    <cellStyle name="常规 11 9 3 2 5" xfId="13373"/>
    <cellStyle name="常规 11 9 3 2 6" xfId="13374"/>
    <cellStyle name="常规 11 9 3 3" xfId="13375"/>
    <cellStyle name="常规 11 9 3 4" xfId="13376"/>
    <cellStyle name="常规 11 9 3 5" xfId="13377"/>
    <cellStyle name="常规 11 9 3 6" xfId="13378"/>
    <cellStyle name="常规 11 9 3 7" xfId="13379"/>
    <cellStyle name="常规 11 9 4" xfId="13380"/>
    <cellStyle name="常规 11 9 4 2" xfId="13381"/>
    <cellStyle name="常规 11 9 4 2 2" xfId="13382"/>
    <cellStyle name="常规 11 9 4 2 3" xfId="13383"/>
    <cellStyle name="常规 11 9 4 2 4" xfId="13384"/>
    <cellStyle name="常规 11 9 4 2 5" xfId="13385"/>
    <cellStyle name="常规 11 9 4 2 6" xfId="13386"/>
    <cellStyle name="常规 11 9 4 3" xfId="13387"/>
    <cellStyle name="常规 11 9 4 4" xfId="13388"/>
    <cellStyle name="常规 11 9 4 5" xfId="13389"/>
    <cellStyle name="常规 11 9 4 6" xfId="13390"/>
    <cellStyle name="常规 11 9 4 7" xfId="13391"/>
    <cellStyle name="常规 11 9 5" xfId="13392"/>
    <cellStyle name="常规 11 9 5 2" xfId="13393"/>
    <cellStyle name="常规 11 9 5 2 2" xfId="13394"/>
    <cellStyle name="常规 11 9 5 2 3" xfId="13395"/>
    <cellStyle name="常规 11 9 5 2 4" xfId="13396"/>
    <cellStyle name="常规 11 9 5 2 5" xfId="13397"/>
    <cellStyle name="常规 11 9 5 2 6" xfId="13398"/>
    <cellStyle name="常规 11 9 5 3" xfId="13399"/>
    <cellStyle name="常规 11 9 5 4" xfId="13400"/>
    <cellStyle name="常规 11 9 5 5" xfId="13401"/>
    <cellStyle name="常规 11 9 5 6" xfId="13402"/>
    <cellStyle name="常规 11 9 5 7" xfId="13403"/>
    <cellStyle name="常规 11 9 6" xfId="13404"/>
    <cellStyle name="常规 11 9 6 2" xfId="13405"/>
    <cellStyle name="常规 11 9 6 3" xfId="13406"/>
    <cellStyle name="常规 11 9 6 4" xfId="13407"/>
    <cellStyle name="常规 11 9 6 5" xfId="13408"/>
    <cellStyle name="常规 11 9 6 6" xfId="13409"/>
    <cellStyle name="常规 11 9 7" xfId="13410"/>
    <cellStyle name="常规 11 9 8" xfId="13411"/>
    <cellStyle name="常规 11 9 9" xfId="13412"/>
    <cellStyle name="常规 110" xfId="13413"/>
    <cellStyle name="常规 111" xfId="13414"/>
    <cellStyle name="常规 115" xfId="13415"/>
    <cellStyle name="常规 12" xfId="13416"/>
    <cellStyle name="常规 12 10" xfId="13417"/>
    <cellStyle name="常规 12 10 2" xfId="13418"/>
    <cellStyle name="常规 12 10 3" xfId="13419"/>
    <cellStyle name="常规 12 10 4" xfId="13420"/>
    <cellStyle name="常规 12 10 5" xfId="13421"/>
    <cellStyle name="常规 12 10 6" xfId="13422"/>
    <cellStyle name="常规 12 10 7" xfId="13423"/>
    <cellStyle name="常规 12 11" xfId="13424"/>
    <cellStyle name="常规 12 11 2" xfId="13425"/>
    <cellStyle name="常规 12 12" xfId="13426"/>
    <cellStyle name="常规 12 13" xfId="13427"/>
    <cellStyle name="常规 12 14" xfId="13428"/>
    <cellStyle name="常规 12 15" xfId="13429"/>
    <cellStyle name="常规 12 16" xfId="13430"/>
    <cellStyle name="常规 12 17" xfId="13431"/>
    <cellStyle name="常规 12 2" xfId="13432"/>
    <cellStyle name="常规 12 2 10" xfId="13433"/>
    <cellStyle name="常规 12 2 10 2" xfId="13434"/>
    <cellStyle name="常规 12 2 10 3" xfId="13435"/>
    <cellStyle name="常规 12 2 10 4" xfId="13436"/>
    <cellStyle name="常规 12 2 10 5" xfId="13437"/>
    <cellStyle name="常规 12 2 10 6" xfId="13438"/>
    <cellStyle name="常规 12 2 11" xfId="13439"/>
    <cellStyle name="常规 12 2 12" xfId="13440"/>
    <cellStyle name="常规 12 2 13" xfId="13441"/>
    <cellStyle name="常规 12 2 14" xfId="13442"/>
    <cellStyle name="常规 12 2 15" xfId="13443"/>
    <cellStyle name="常规 12 2 16" xfId="13444"/>
    <cellStyle name="常规 12 2 2" xfId="13445"/>
    <cellStyle name="常规 12 2 2 10" xfId="13446"/>
    <cellStyle name="常规 12 2 2 11" xfId="13447"/>
    <cellStyle name="常规 12 2 2 12" xfId="13448"/>
    <cellStyle name="常规 12 2 2 2" xfId="13449"/>
    <cellStyle name="常规 12 2 2 2 2" xfId="13450"/>
    <cellStyle name="常规 12 2 2 2 2 2" xfId="13451"/>
    <cellStyle name="常规 12 2 2 2 2 2 2" xfId="13452"/>
    <cellStyle name="常规 12 2 2 2 2 2 3" xfId="13453"/>
    <cellStyle name="常规 12 2 2 2 2 2 4" xfId="13454"/>
    <cellStyle name="常规 12 2 2 2 2 2 5" xfId="13455"/>
    <cellStyle name="常规 12 2 2 2 2 2 6" xfId="13456"/>
    <cellStyle name="常规 12 2 2 2 2 2 7" xfId="13457"/>
    <cellStyle name="常规 12 2 2 2 2 2 8" xfId="13458"/>
    <cellStyle name="常规 12 2 2 2 2 3" xfId="13459"/>
    <cellStyle name="常规 12 2 2 2 2 3 2" xfId="13460"/>
    <cellStyle name="常规 12 2 2 2 2 4" xfId="13461"/>
    <cellStyle name="常规 12 2 2 2 2 4 2" xfId="13462"/>
    <cellStyle name="常规 12 2 2 2 2 5" xfId="13463"/>
    <cellStyle name="常规 12 2 2 2 2 6" xfId="13464"/>
    <cellStyle name="常规 12 2 2 2 2 7" xfId="13465"/>
    <cellStyle name="常规 12 2 2 2 2 8" xfId="13466"/>
    <cellStyle name="常规 12 2 2 2 3" xfId="13467"/>
    <cellStyle name="常规 12 2 2 2 3 2" xfId="13468"/>
    <cellStyle name="常规 12 2 2 2 3 2 2" xfId="13469"/>
    <cellStyle name="常规 12 2 2 2 3 2 3" xfId="13470"/>
    <cellStyle name="常规 12 2 2 2 3 3" xfId="13471"/>
    <cellStyle name="常规 12 2 2 2 3 3 2" xfId="13472"/>
    <cellStyle name="常规 12 2 2 2 3 4" xfId="13473"/>
    <cellStyle name="常规 12 2 2 2 3 4 2" xfId="13474"/>
    <cellStyle name="常规 12 2 2 2 3 5" xfId="13475"/>
    <cellStyle name="常规 12 2 2 2 3 6" xfId="13476"/>
    <cellStyle name="常规 12 2 2 2 3 7" xfId="13477"/>
    <cellStyle name="常规 12 2 2 2 4" xfId="13478"/>
    <cellStyle name="常规 12 2 2 2 4 2" xfId="13479"/>
    <cellStyle name="常规 12 2 2 2 4 3" xfId="13480"/>
    <cellStyle name="常规 12 2 2 2 5" xfId="13481"/>
    <cellStyle name="常规 12 2 2 2 5 2" xfId="13482"/>
    <cellStyle name="常规 12 2 2 2 6" xfId="13483"/>
    <cellStyle name="常规 12 2 2 2 6 2" xfId="13484"/>
    <cellStyle name="常规 12 2 2 2 7" xfId="13485"/>
    <cellStyle name="常规 12 2 2 2 8" xfId="13486"/>
    <cellStyle name="常规 12 2 2 2 9" xfId="13487"/>
    <cellStyle name="常规 12 2 2 3" xfId="13488"/>
    <cellStyle name="常规 12 2 2 3 2" xfId="13489"/>
    <cellStyle name="常规 12 2 2 3 2 2" xfId="13490"/>
    <cellStyle name="常规 12 2 2 3 2 2 2" xfId="13491"/>
    <cellStyle name="常规 12 2 2 3 2 2 3" xfId="13492"/>
    <cellStyle name="常规 12 2 2 3 2 2 4" xfId="13493"/>
    <cellStyle name="常规 12 2 2 3 2 2 5" xfId="13494"/>
    <cellStyle name="常规 12 2 2 3 2 2 6" xfId="13495"/>
    <cellStyle name="常规 12 2 2 3 2 3" xfId="13496"/>
    <cellStyle name="常规 12 2 2 3 2 4" xfId="13497"/>
    <cellStyle name="常规 12 2 2 3 2 5" xfId="13498"/>
    <cellStyle name="常规 12 2 2 3 2 6" xfId="13499"/>
    <cellStyle name="常规 12 2 2 3 2 7" xfId="13500"/>
    <cellStyle name="常规 12 2 2 3 2 8" xfId="13501"/>
    <cellStyle name="常规 12 2 2 3 2 9" xfId="13502"/>
    <cellStyle name="常规 12 2 2 3 3" xfId="13503"/>
    <cellStyle name="常规 12 2 2 3 3 2" xfId="13504"/>
    <cellStyle name="常规 12 2 2 3 3 3" xfId="13505"/>
    <cellStyle name="常规 12 2 2 3 3 4" xfId="13506"/>
    <cellStyle name="常规 12 2 2 3 3 5" xfId="13507"/>
    <cellStyle name="常规 12 2 2 3 3 6" xfId="13508"/>
    <cellStyle name="常规 12 2 2 3 3 7" xfId="13509"/>
    <cellStyle name="常规 12 2 2 3 4" xfId="13510"/>
    <cellStyle name="常规 12 2 2 3 4 2" xfId="13511"/>
    <cellStyle name="常规 12 2 2 3 5" xfId="13512"/>
    <cellStyle name="常规 12 2 2 3 6" xfId="13513"/>
    <cellStyle name="常规 12 2 2 3 7" xfId="13514"/>
    <cellStyle name="常规 12 2 2 3 8" xfId="13515"/>
    <cellStyle name="常规 12 2 2 3 9" xfId="13516"/>
    <cellStyle name="常规 12 2 2 4" xfId="13517"/>
    <cellStyle name="常规 12 2 2 4 2" xfId="13518"/>
    <cellStyle name="常规 12 2 2 4 2 2" xfId="13519"/>
    <cellStyle name="常规 12 2 2 4 2 3" xfId="13520"/>
    <cellStyle name="常规 12 2 2 4 2 4" xfId="13521"/>
    <cellStyle name="常规 12 2 2 4 2 5" xfId="13522"/>
    <cellStyle name="常规 12 2 2 4 2 6" xfId="13523"/>
    <cellStyle name="常规 12 2 2 4 2 7" xfId="13524"/>
    <cellStyle name="常规 12 2 2 4 2 8" xfId="13525"/>
    <cellStyle name="常规 12 2 2 4 3" xfId="13526"/>
    <cellStyle name="常规 12 2 2 4 3 2" xfId="13527"/>
    <cellStyle name="常规 12 2 2 4 4" xfId="13528"/>
    <cellStyle name="常规 12 2 2 4 4 2" xfId="13529"/>
    <cellStyle name="常规 12 2 2 4 5" xfId="13530"/>
    <cellStyle name="常规 12 2 2 4 6" xfId="13531"/>
    <cellStyle name="常规 12 2 2 4 7" xfId="13532"/>
    <cellStyle name="常规 12 2 2 4 8" xfId="13533"/>
    <cellStyle name="常规 12 2 2 5" xfId="13534"/>
    <cellStyle name="常规 12 2 2 5 2" xfId="13535"/>
    <cellStyle name="常规 12 2 2 5 2 2" xfId="13536"/>
    <cellStyle name="常规 12 2 2 5 2 3" xfId="13537"/>
    <cellStyle name="常规 12 2 2 5 2 4" xfId="13538"/>
    <cellStyle name="常规 12 2 2 5 2 5" xfId="13539"/>
    <cellStyle name="常规 12 2 2 5 2 6" xfId="13540"/>
    <cellStyle name="常规 12 2 2 5 3" xfId="13541"/>
    <cellStyle name="常规 12 2 2 5 4" xfId="13542"/>
    <cellStyle name="常规 12 2 2 5 5" xfId="13543"/>
    <cellStyle name="常规 12 2 2 5 6" xfId="13544"/>
    <cellStyle name="常规 12 2 2 5 7" xfId="13545"/>
    <cellStyle name="常规 12 2 2 5 8" xfId="13546"/>
    <cellStyle name="常规 12 2 2 5 9" xfId="13547"/>
    <cellStyle name="常规 12 2 2 6" xfId="13548"/>
    <cellStyle name="常规 12 2 2 6 2" xfId="13549"/>
    <cellStyle name="常规 12 2 2 6 3" xfId="13550"/>
    <cellStyle name="常规 12 2 2 6 4" xfId="13551"/>
    <cellStyle name="常规 12 2 2 6 5" xfId="13552"/>
    <cellStyle name="常规 12 2 2 6 6" xfId="13553"/>
    <cellStyle name="常规 12 2 2 6 7" xfId="13554"/>
    <cellStyle name="常规 12 2 2 7" xfId="13555"/>
    <cellStyle name="常规 12 2 2 7 2" xfId="13556"/>
    <cellStyle name="常规 12 2 2 8" xfId="13557"/>
    <cellStyle name="常规 12 2 2 9" xfId="13558"/>
    <cellStyle name="常规 12 2 3" xfId="13559"/>
    <cellStyle name="常规 12 2 3 10" xfId="13560"/>
    <cellStyle name="常规 12 2 3 2" xfId="13561"/>
    <cellStyle name="常规 12 2 3 2 2" xfId="13562"/>
    <cellStyle name="常规 12 2 3 2 2 2" xfId="13563"/>
    <cellStyle name="常规 12 2 3 2 2 2 2" xfId="13564"/>
    <cellStyle name="常规 12 2 3 2 2 2 3" xfId="13565"/>
    <cellStyle name="常规 12 2 3 2 2 2 4" xfId="13566"/>
    <cellStyle name="常规 12 2 3 2 2 2 5" xfId="13567"/>
    <cellStyle name="常规 12 2 3 2 2 2 6" xfId="13568"/>
    <cellStyle name="常规 12 2 3 2 2 3" xfId="13569"/>
    <cellStyle name="常规 12 2 3 2 2 4" xfId="13570"/>
    <cellStyle name="常规 12 2 3 2 2 5" xfId="13571"/>
    <cellStyle name="常规 12 2 3 2 2 6" xfId="13572"/>
    <cellStyle name="常规 12 2 3 2 2 7" xfId="13573"/>
    <cellStyle name="常规 12 2 3 2 2 8" xfId="13574"/>
    <cellStyle name="常规 12 2 3 2 2 9" xfId="13575"/>
    <cellStyle name="常规 12 2 3 2 3" xfId="13576"/>
    <cellStyle name="常规 12 2 3 2 3 2" xfId="13577"/>
    <cellStyle name="常规 12 2 3 2 3 3" xfId="13578"/>
    <cellStyle name="常规 12 2 3 2 3 4" xfId="13579"/>
    <cellStyle name="常规 12 2 3 2 3 5" xfId="13580"/>
    <cellStyle name="常规 12 2 3 2 3 6" xfId="13581"/>
    <cellStyle name="常规 12 2 3 2 3 7" xfId="13582"/>
    <cellStyle name="常规 12 2 3 2 4" xfId="13583"/>
    <cellStyle name="常规 12 2 3 2 4 2" xfId="13584"/>
    <cellStyle name="常规 12 2 3 2 5" xfId="13585"/>
    <cellStyle name="常规 12 2 3 2 6" xfId="13586"/>
    <cellStyle name="常规 12 2 3 2 7" xfId="13587"/>
    <cellStyle name="常规 12 2 3 2 8" xfId="13588"/>
    <cellStyle name="常规 12 2 3 2 9" xfId="13589"/>
    <cellStyle name="常规 12 2 3 3" xfId="13590"/>
    <cellStyle name="常规 12 2 3 3 2" xfId="13591"/>
    <cellStyle name="常规 12 2 3 3 2 2" xfId="13592"/>
    <cellStyle name="常规 12 2 3 3 2 3" xfId="13593"/>
    <cellStyle name="常规 12 2 3 3 2 4" xfId="13594"/>
    <cellStyle name="常规 12 2 3 3 2 5" xfId="13595"/>
    <cellStyle name="常规 12 2 3 3 2 6" xfId="13596"/>
    <cellStyle name="常规 12 2 3 3 2 7" xfId="13597"/>
    <cellStyle name="常规 12 2 3 3 2 8" xfId="13598"/>
    <cellStyle name="常规 12 2 3 3 3" xfId="13599"/>
    <cellStyle name="常规 12 2 3 3 3 2" xfId="13600"/>
    <cellStyle name="常规 12 2 3 3 4" xfId="13601"/>
    <cellStyle name="常规 12 2 3 3 4 2" xfId="13602"/>
    <cellStyle name="常规 12 2 3 3 5" xfId="13603"/>
    <cellStyle name="常规 12 2 3 3 6" xfId="13604"/>
    <cellStyle name="常规 12 2 3 3 7" xfId="13605"/>
    <cellStyle name="常规 12 2 3 3 8" xfId="13606"/>
    <cellStyle name="常规 12 2 3 4" xfId="13607"/>
    <cellStyle name="常规 12 2 3 4 2" xfId="13608"/>
    <cellStyle name="常规 12 2 3 4 3" xfId="13609"/>
    <cellStyle name="常规 12 2 3 4 4" xfId="13610"/>
    <cellStyle name="常规 12 2 3 4 5" xfId="13611"/>
    <cellStyle name="常规 12 2 3 4 6" xfId="13612"/>
    <cellStyle name="常规 12 2 3 4 7" xfId="13613"/>
    <cellStyle name="常规 12 2 3 4 8" xfId="13614"/>
    <cellStyle name="常规 12 2 3 5" xfId="13615"/>
    <cellStyle name="常规 12 2 3 5 2" xfId="13616"/>
    <cellStyle name="常规 12 2 3 6" xfId="13617"/>
    <cellStyle name="常规 12 2 3 6 2" xfId="13618"/>
    <cellStyle name="常规 12 2 3 7" xfId="13619"/>
    <cellStyle name="常规 12 2 3 8" xfId="13620"/>
    <cellStyle name="常规 12 2 3 9" xfId="13621"/>
    <cellStyle name="常规 12 2 4" xfId="13622"/>
    <cellStyle name="常规 12 2 4 2" xfId="13623"/>
    <cellStyle name="常规 12 2 4 2 2" xfId="13624"/>
    <cellStyle name="常规 12 2 4 3" xfId="13625"/>
    <cellStyle name="常规 12 2 4 4" xfId="13626"/>
    <cellStyle name="常规 12 2 4 5" xfId="13627"/>
    <cellStyle name="常规 12 2 5" xfId="13628"/>
    <cellStyle name="常规 12 2 5 2" xfId="13629"/>
    <cellStyle name="常规 12 2 5 2 2" xfId="13630"/>
    <cellStyle name="常规 12 2 5 2 2 2" xfId="13631"/>
    <cellStyle name="常规 12 2 5 2 2 3" xfId="13632"/>
    <cellStyle name="常规 12 2 5 2 2 4" xfId="13633"/>
    <cellStyle name="常规 12 2 5 2 2 5" xfId="13634"/>
    <cellStyle name="常规 12 2 5 2 2 6" xfId="13635"/>
    <cellStyle name="常规 12 2 5 2 3" xfId="13636"/>
    <cellStyle name="常规 12 2 5 2 4" xfId="13637"/>
    <cellStyle name="常规 12 2 5 2 5" xfId="13638"/>
    <cellStyle name="常规 12 2 5 2 6" xfId="13639"/>
    <cellStyle name="常规 12 2 5 2 7" xfId="13640"/>
    <cellStyle name="常规 12 2 5 2 8" xfId="13641"/>
    <cellStyle name="常规 12 2 5 2 9" xfId="13642"/>
    <cellStyle name="常规 12 2 5 3" xfId="13643"/>
    <cellStyle name="常规 12 2 5 3 2" xfId="13644"/>
    <cellStyle name="常规 12 2 5 3 3" xfId="13645"/>
    <cellStyle name="常规 12 2 5 3 4" xfId="13646"/>
    <cellStyle name="常规 12 2 5 3 5" xfId="13647"/>
    <cellStyle name="常规 12 2 5 3 6" xfId="13648"/>
    <cellStyle name="常规 12 2 5 3 7" xfId="13649"/>
    <cellStyle name="常规 12 2 5 4" xfId="13650"/>
    <cellStyle name="常规 12 2 5 4 2" xfId="13651"/>
    <cellStyle name="常规 12 2 5 5" xfId="13652"/>
    <cellStyle name="常规 12 2 5 6" xfId="13653"/>
    <cellStyle name="常规 12 2 5 7" xfId="13654"/>
    <cellStyle name="常规 12 2 5 8" xfId="13655"/>
    <cellStyle name="常规 12 2 5 9" xfId="13656"/>
    <cellStyle name="常规 12 2 6" xfId="13657"/>
    <cellStyle name="常规 12 2 6 10" xfId="13658"/>
    <cellStyle name="常规 12 2 6 2" xfId="13659"/>
    <cellStyle name="常规 12 2 6 2 2" xfId="13660"/>
    <cellStyle name="常规 12 2 6 2 2 2" xfId="13661"/>
    <cellStyle name="常规 12 2 6 2 2 3" xfId="13662"/>
    <cellStyle name="常规 12 2 6 2 2 4" xfId="13663"/>
    <cellStyle name="常规 12 2 6 2 2 5" xfId="13664"/>
    <cellStyle name="常规 12 2 6 2 2 6" xfId="13665"/>
    <cellStyle name="常规 12 2 6 2 3" xfId="13666"/>
    <cellStyle name="常规 12 2 6 2 4" xfId="13667"/>
    <cellStyle name="常规 12 2 6 2 5" xfId="13668"/>
    <cellStyle name="常规 12 2 6 2 6" xfId="13669"/>
    <cellStyle name="常规 12 2 6 2 7" xfId="13670"/>
    <cellStyle name="常规 12 2 6 3" xfId="13671"/>
    <cellStyle name="常规 12 2 6 3 2" xfId="13672"/>
    <cellStyle name="常规 12 2 6 3 3" xfId="13673"/>
    <cellStyle name="常规 12 2 6 3 4" xfId="13674"/>
    <cellStyle name="常规 12 2 6 3 5" xfId="13675"/>
    <cellStyle name="常规 12 2 6 3 6" xfId="13676"/>
    <cellStyle name="常规 12 2 6 4" xfId="13677"/>
    <cellStyle name="常规 12 2 6 5" xfId="13678"/>
    <cellStyle name="常规 12 2 6 6" xfId="13679"/>
    <cellStyle name="常规 12 2 6 7" xfId="13680"/>
    <cellStyle name="常规 12 2 6 8" xfId="13681"/>
    <cellStyle name="常规 12 2 6 9" xfId="13682"/>
    <cellStyle name="常规 12 2 7" xfId="13683"/>
    <cellStyle name="常规 12 2 7 2" xfId="13684"/>
    <cellStyle name="常规 12 2 7 2 2" xfId="13685"/>
    <cellStyle name="常规 12 2 7 2 3" xfId="13686"/>
    <cellStyle name="常规 12 2 7 2 4" xfId="13687"/>
    <cellStyle name="常规 12 2 7 2 5" xfId="13688"/>
    <cellStyle name="常规 12 2 7 2 6" xfId="13689"/>
    <cellStyle name="常规 12 2 7 3" xfId="13690"/>
    <cellStyle name="常规 12 2 7 4" xfId="13691"/>
    <cellStyle name="常规 12 2 7 5" xfId="13692"/>
    <cellStyle name="常规 12 2 7 6" xfId="13693"/>
    <cellStyle name="常规 12 2 7 7" xfId="13694"/>
    <cellStyle name="常规 12 2 7 8" xfId="13695"/>
    <cellStyle name="常规 12 2 8" xfId="13696"/>
    <cellStyle name="常规 12 2 8 2" xfId="13697"/>
    <cellStyle name="常规 12 2 8 2 2" xfId="13698"/>
    <cellStyle name="常规 12 2 8 2 3" xfId="13699"/>
    <cellStyle name="常规 12 2 8 2 4" xfId="13700"/>
    <cellStyle name="常规 12 2 8 2 5" xfId="13701"/>
    <cellStyle name="常规 12 2 8 2 6" xfId="13702"/>
    <cellStyle name="常规 12 2 8 3" xfId="13703"/>
    <cellStyle name="常规 12 2 8 4" xfId="13704"/>
    <cellStyle name="常规 12 2 8 5" xfId="13705"/>
    <cellStyle name="常规 12 2 8 6" xfId="13706"/>
    <cellStyle name="常规 12 2 8 7" xfId="13707"/>
    <cellStyle name="常规 12 2 8 8" xfId="13708"/>
    <cellStyle name="常规 12 2 9" xfId="13709"/>
    <cellStyle name="常规 12 2 9 2" xfId="13710"/>
    <cellStyle name="常规 12 2 9 2 2" xfId="13711"/>
    <cellStyle name="常规 12 2 9 2 3" xfId="13712"/>
    <cellStyle name="常规 12 2 9 2 4" xfId="13713"/>
    <cellStyle name="常规 12 2 9 2 5" xfId="13714"/>
    <cellStyle name="常规 12 2 9 2 6" xfId="13715"/>
    <cellStyle name="常规 12 2 9 3" xfId="13716"/>
    <cellStyle name="常规 12 2 9 4" xfId="13717"/>
    <cellStyle name="常规 12 2 9 5" xfId="13718"/>
    <cellStyle name="常规 12 2 9 6" xfId="13719"/>
    <cellStyle name="常规 12 2 9 7" xfId="13720"/>
    <cellStyle name="常规 12 2 9 8" xfId="13721"/>
    <cellStyle name="常规 12 3" xfId="13722"/>
    <cellStyle name="常规 12 3 10" xfId="13723"/>
    <cellStyle name="常规 12 3 11" xfId="13724"/>
    <cellStyle name="常规 12 3 12" xfId="13725"/>
    <cellStyle name="常规 12 3 13" xfId="13726"/>
    <cellStyle name="常规 12 3 2" xfId="13727"/>
    <cellStyle name="常规 12 3 2 10" xfId="13728"/>
    <cellStyle name="常规 12 3 2 11" xfId="13729"/>
    <cellStyle name="常规 12 3 2 2" xfId="13730"/>
    <cellStyle name="常规 12 3 2 2 2" xfId="13731"/>
    <cellStyle name="常规 12 3 2 2 2 2" xfId="13732"/>
    <cellStyle name="常规 12 3 2 2 2 2 2" xfId="13733"/>
    <cellStyle name="常规 12 3 2 2 2 2 3" xfId="13734"/>
    <cellStyle name="常规 12 3 2 2 2 2 4" xfId="13735"/>
    <cellStyle name="常规 12 3 2 2 2 2 5" xfId="13736"/>
    <cellStyle name="常规 12 3 2 2 2 2 6" xfId="13737"/>
    <cellStyle name="常规 12 3 2 2 2 2 7" xfId="13738"/>
    <cellStyle name="常规 12 3 2 2 2 2 8" xfId="13739"/>
    <cellStyle name="常规 12 3 2 2 2 3" xfId="13740"/>
    <cellStyle name="常规 12 3 2 2 2 3 2" xfId="13741"/>
    <cellStyle name="常规 12 3 2 2 2 4" xfId="13742"/>
    <cellStyle name="常规 12 3 2 2 2 4 2" xfId="13743"/>
    <cellStyle name="常规 12 3 2 2 2 5" xfId="13744"/>
    <cellStyle name="常规 12 3 2 2 2 6" xfId="13745"/>
    <cellStyle name="常规 12 3 2 2 2 7" xfId="13746"/>
    <cellStyle name="常规 12 3 2 2 2 8" xfId="13747"/>
    <cellStyle name="常规 12 3 2 2 3" xfId="13748"/>
    <cellStyle name="常规 12 3 2 2 3 2" xfId="13749"/>
    <cellStyle name="常规 12 3 2 2 3 3" xfId="13750"/>
    <cellStyle name="常规 12 3 2 2 3 4" xfId="13751"/>
    <cellStyle name="常规 12 3 2 2 3 5" xfId="13752"/>
    <cellStyle name="常规 12 3 2 2 3 6" xfId="13753"/>
    <cellStyle name="常规 12 3 2 2 3 7" xfId="13754"/>
    <cellStyle name="常规 12 3 2 2 3 8" xfId="13755"/>
    <cellStyle name="常规 12 3 2 2 4" xfId="13756"/>
    <cellStyle name="常规 12 3 2 2 4 2" xfId="13757"/>
    <cellStyle name="常规 12 3 2 2 5" xfId="13758"/>
    <cellStyle name="常规 12 3 2 2 5 2" xfId="13759"/>
    <cellStyle name="常规 12 3 2 2 6" xfId="13760"/>
    <cellStyle name="常规 12 3 2 2 7" xfId="13761"/>
    <cellStyle name="常规 12 3 2 2 8" xfId="13762"/>
    <cellStyle name="常规 12 3 2 2 9" xfId="13763"/>
    <cellStyle name="常规 12 3 2 3" xfId="13764"/>
    <cellStyle name="常规 12 3 2 3 2" xfId="13765"/>
    <cellStyle name="常规 12 3 2 3 2 2" xfId="13766"/>
    <cellStyle name="常规 12 3 2 3 2 2 2" xfId="13767"/>
    <cellStyle name="常规 12 3 2 3 2 2 3" xfId="13768"/>
    <cellStyle name="常规 12 3 2 3 2 2 4" xfId="13769"/>
    <cellStyle name="常规 12 3 2 3 2 2 5" xfId="13770"/>
    <cellStyle name="常规 12 3 2 3 2 2 6" xfId="13771"/>
    <cellStyle name="常规 12 3 2 3 2 3" xfId="13772"/>
    <cellStyle name="常规 12 3 2 3 2 4" xfId="13773"/>
    <cellStyle name="常规 12 3 2 3 2 5" xfId="13774"/>
    <cellStyle name="常规 12 3 2 3 2 6" xfId="13775"/>
    <cellStyle name="常规 12 3 2 3 2 7" xfId="13776"/>
    <cellStyle name="常规 12 3 2 3 2 8" xfId="13777"/>
    <cellStyle name="常规 12 3 2 3 2 9" xfId="13778"/>
    <cellStyle name="常规 12 3 2 3 3" xfId="13779"/>
    <cellStyle name="常规 12 3 2 3 3 2" xfId="13780"/>
    <cellStyle name="常规 12 3 2 3 3 3" xfId="13781"/>
    <cellStyle name="常规 12 3 2 3 3 4" xfId="13782"/>
    <cellStyle name="常规 12 3 2 3 3 5" xfId="13783"/>
    <cellStyle name="常规 12 3 2 3 3 6" xfId="13784"/>
    <cellStyle name="常规 12 3 2 3 3 7" xfId="13785"/>
    <cellStyle name="常规 12 3 2 3 4" xfId="13786"/>
    <cellStyle name="常规 12 3 2 3 4 2" xfId="13787"/>
    <cellStyle name="常规 12 3 2 3 5" xfId="13788"/>
    <cellStyle name="常规 12 3 2 3 6" xfId="13789"/>
    <cellStyle name="常规 12 3 2 3 7" xfId="13790"/>
    <cellStyle name="常规 12 3 2 3 8" xfId="13791"/>
    <cellStyle name="常规 12 3 2 3 9" xfId="13792"/>
    <cellStyle name="常规 12 3 2 4" xfId="13793"/>
    <cellStyle name="常规 12 3 2 4 2" xfId="13794"/>
    <cellStyle name="常规 12 3 2 4 2 2" xfId="13795"/>
    <cellStyle name="常规 12 3 2 4 2 3" xfId="13796"/>
    <cellStyle name="常规 12 3 2 4 2 4" xfId="13797"/>
    <cellStyle name="常规 12 3 2 4 2 5" xfId="13798"/>
    <cellStyle name="常规 12 3 2 4 2 6" xfId="13799"/>
    <cellStyle name="常规 12 3 2 4 3" xfId="13800"/>
    <cellStyle name="常规 12 3 2 4 4" xfId="13801"/>
    <cellStyle name="常规 12 3 2 4 5" xfId="13802"/>
    <cellStyle name="常规 12 3 2 4 6" xfId="13803"/>
    <cellStyle name="常规 12 3 2 4 7" xfId="13804"/>
    <cellStyle name="常规 12 3 2 4 8" xfId="13805"/>
    <cellStyle name="常规 12 3 2 4 9" xfId="13806"/>
    <cellStyle name="常规 12 3 2 5" xfId="13807"/>
    <cellStyle name="常规 12 3 2 5 2" xfId="13808"/>
    <cellStyle name="常规 12 3 2 5 3" xfId="13809"/>
    <cellStyle name="常规 12 3 2 5 4" xfId="13810"/>
    <cellStyle name="常规 12 3 2 5 5" xfId="13811"/>
    <cellStyle name="常规 12 3 2 5 6" xfId="13812"/>
    <cellStyle name="常规 12 3 2 5 7" xfId="13813"/>
    <cellStyle name="常规 12 3 2 6" xfId="13814"/>
    <cellStyle name="常规 12 3 2 6 2" xfId="13815"/>
    <cellStyle name="常规 12 3 2 7" xfId="13816"/>
    <cellStyle name="常规 12 3 2 8" xfId="13817"/>
    <cellStyle name="常规 12 3 2 9" xfId="13818"/>
    <cellStyle name="常规 12 3 3" xfId="13819"/>
    <cellStyle name="常规 12 3 3 2" xfId="13820"/>
    <cellStyle name="常规 12 3 3 2 2" xfId="13821"/>
    <cellStyle name="常规 12 3 3 2 2 2" xfId="13822"/>
    <cellStyle name="常规 12 3 3 2 2 3" xfId="13823"/>
    <cellStyle name="常规 12 3 3 2 2 4" xfId="13824"/>
    <cellStyle name="常规 12 3 3 2 2 5" xfId="13825"/>
    <cellStyle name="常规 12 3 3 2 2 6" xfId="13826"/>
    <cellStyle name="常规 12 3 3 2 2 7" xfId="13827"/>
    <cellStyle name="常规 12 3 3 2 2 8" xfId="13828"/>
    <cellStyle name="常规 12 3 3 2 3" xfId="13829"/>
    <cellStyle name="常规 12 3 3 2 3 2" xfId="13830"/>
    <cellStyle name="常规 12 3 3 2 4" xfId="13831"/>
    <cellStyle name="常规 12 3 3 2 4 2" xfId="13832"/>
    <cellStyle name="常规 12 3 3 2 5" xfId="13833"/>
    <cellStyle name="常规 12 3 3 2 6" xfId="13834"/>
    <cellStyle name="常规 12 3 3 2 7" xfId="13835"/>
    <cellStyle name="常规 12 3 3 2 8" xfId="13836"/>
    <cellStyle name="常规 12 3 3 3" xfId="13837"/>
    <cellStyle name="常规 12 3 3 3 2" xfId="13838"/>
    <cellStyle name="常规 12 3 3 3 2 2" xfId="13839"/>
    <cellStyle name="常规 12 3 3 3 2 3" xfId="13840"/>
    <cellStyle name="常规 12 3 3 3 3" xfId="13841"/>
    <cellStyle name="常规 12 3 3 3 3 2" xfId="13842"/>
    <cellStyle name="常规 12 3 3 3 4" xfId="13843"/>
    <cellStyle name="常规 12 3 3 3 4 2" xfId="13844"/>
    <cellStyle name="常规 12 3 3 3 5" xfId="13845"/>
    <cellStyle name="常规 12 3 3 3 6" xfId="13846"/>
    <cellStyle name="常规 12 3 3 3 7" xfId="13847"/>
    <cellStyle name="常规 12 3 3 4" xfId="13848"/>
    <cellStyle name="常规 12 3 3 4 2" xfId="13849"/>
    <cellStyle name="常规 12 3 3 4 3" xfId="13850"/>
    <cellStyle name="常规 12 3 3 5" xfId="13851"/>
    <cellStyle name="常规 12 3 3 5 2" xfId="13852"/>
    <cellStyle name="常规 12 3 3 6" xfId="13853"/>
    <cellStyle name="常规 12 3 3 6 2" xfId="13854"/>
    <cellStyle name="常规 12 3 3 7" xfId="13855"/>
    <cellStyle name="常规 12 3 3 8" xfId="13856"/>
    <cellStyle name="常规 12 3 3 9" xfId="13857"/>
    <cellStyle name="常规 12 3 4" xfId="13858"/>
    <cellStyle name="常规 12 3 4 2" xfId="13859"/>
    <cellStyle name="常规 12 3 4 2 2" xfId="13860"/>
    <cellStyle name="常规 12 3 4 2 2 2" xfId="13861"/>
    <cellStyle name="常规 12 3 4 2 2 3" xfId="13862"/>
    <cellStyle name="常规 12 3 4 2 2 4" xfId="13863"/>
    <cellStyle name="常规 12 3 4 2 2 5" xfId="13864"/>
    <cellStyle name="常规 12 3 4 2 2 6" xfId="13865"/>
    <cellStyle name="常规 12 3 4 2 3" xfId="13866"/>
    <cellStyle name="常规 12 3 4 2 4" xfId="13867"/>
    <cellStyle name="常规 12 3 4 2 5" xfId="13868"/>
    <cellStyle name="常规 12 3 4 2 6" xfId="13869"/>
    <cellStyle name="常规 12 3 4 2 7" xfId="13870"/>
    <cellStyle name="常规 12 3 4 2 8" xfId="13871"/>
    <cellStyle name="常规 12 3 4 2 9" xfId="13872"/>
    <cellStyle name="常规 12 3 4 3" xfId="13873"/>
    <cellStyle name="常规 12 3 4 3 2" xfId="13874"/>
    <cellStyle name="常规 12 3 4 3 3" xfId="13875"/>
    <cellStyle name="常规 12 3 4 3 4" xfId="13876"/>
    <cellStyle name="常规 12 3 4 3 5" xfId="13877"/>
    <cellStyle name="常规 12 3 4 3 6" xfId="13878"/>
    <cellStyle name="常规 12 3 4 3 7" xfId="13879"/>
    <cellStyle name="常规 12 3 4 4" xfId="13880"/>
    <cellStyle name="常规 12 3 4 4 2" xfId="13881"/>
    <cellStyle name="常规 12 3 4 5" xfId="13882"/>
    <cellStyle name="常规 12 3 4 6" xfId="13883"/>
    <cellStyle name="常规 12 3 4 7" xfId="13884"/>
    <cellStyle name="常规 12 3 4 8" xfId="13885"/>
    <cellStyle name="常规 12 3 4 9" xfId="13886"/>
    <cellStyle name="常规 12 3 5" xfId="13887"/>
    <cellStyle name="常规 12 3 5 2" xfId="13888"/>
    <cellStyle name="常规 12 3 5 2 2" xfId="13889"/>
    <cellStyle name="常规 12 3 5 2 3" xfId="13890"/>
    <cellStyle name="常规 12 3 5 2 4" xfId="13891"/>
    <cellStyle name="常规 12 3 5 2 5" xfId="13892"/>
    <cellStyle name="常规 12 3 5 2 6" xfId="13893"/>
    <cellStyle name="常规 12 3 5 2 7" xfId="13894"/>
    <cellStyle name="常规 12 3 5 2 8" xfId="13895"/>
    <cellStyle name="常规 12 3 5 3" xfId="13896"/>
    <cellStyle name="常规 12 3 5 3 2" xfId="13897"/>
    <cellStyle name="常规 12 3 5 4" xfId="13898"/>
    <cellStyle name="常规 12 3 5 4 2" xfId="13899"/>
    <cellStyle name="常规 12 3 5 5" xfId="13900"/>
    <cellStyle name="常规 12 3 5 6" xfId="13901"/>
    <cellStyle name="常规 12 3 5 7" xfId="13902"/>
    <cellStyle name="常规 12 3 5 8" xfId="13903"/>
    <cellStyle name="常规 12 3 6" xfId="13904"/>
    <cellStyle name="常规 12 3 6 2" xfId="13905"/>
    <cellStyle name="常规 12 3 6 2 2" xfId="13906"/>
    <cellStyle name="常规 12 3 6 2 3" xfId="13907"/>
    <cellStyle name="常规 12 3 6 2 4" xfId="13908"/>
    <cellStyle name="常规 12 3 6 2 5" xfId="13909"/>
    <cellStyle name="常规 12 3 6 2 6" xfId="13910"/>
    <cellStyle name="常规 12 3 6 3" xfId="13911"/>
    <cellStyle name="常规 12 3 6 4" xfId="13912"/>
    <cellStyle name="常规 12 3 6 5" xfId="13913"/>
    <cellStyle name="常规 12 3 6 6" xfId="13914"/>
    <cellStyle name="常规 12 3 6 7" xfId="13915"/>
    <cellStyle name="常规 12 3 6 8" xfId="13916"/>
    <cellStyle name="常规 12 3 6 9" xfId="13917"/>
    <cellStyle name="常规 12 3 7" xfId="13918"/>
    <cellStyle name="常规 12 3 7 2" xfId="13919"/>
    <cellStyle name="常规 12 3 7 3" xfId="13920"/>
    <cellStyle name="常规 12 3 7 4" xfId="13921"/>
    <cellStyle name="常规 12 3 7 5" xfId="13922"/>
    <cellStyle name="常规 12 3 7 6" xfId="13923"/>
    <cellStyle name="常规 12 3 7 7" xfId="13924"/>
    <cellStyle name="常规 12 3 8" xfId="13925"/>
    <cellStyle name="常规 12 3 8 2" xfId="13926"/>
    <cellStyle name="常规 12 3 9" xfId="13927"/>
    <cellStyle name="常规 12 3 9 2" xfId="13928"/>
    <cellStyle name="常规 12 4" xfId="13929"/>
    <cellStyle name="常规 12 4 2" xfId="13930"/>
    <cellStyle name="常规 12 4 2 2" xfId="13931"/>
    <cellStyle name="常规 12 4 2 2 2" xfId="13932"/>
    <cellStyle name="常规 12 4 2 2 2 2" xfId="13933"/>
    <cellStyle name="常规 12 4 2 2 3" xfId="13934"/>
    <cellStyle name="常规 12 4 2 2 4" xfId="13935"/>
    <cellStyle name="常规 12 4 2 3" xfId="13936"/>
    <cellStyle name="常规 12 4 2 3 2" xfId="13937"/>
    <cellStyle name="常规 12 4 2 3 2 2" xfId="13938"/>
    <cellStyle name="常规 12 4 2 3 3" xfId="13939"/>
    <cellStyle name="常规 12 4 2 3 4" xfId="13940"/>
    <cellStyle name="常规 12 4 2 4" xfId="13941"/>
    <cellStyle name="常规 12 4 2 4 2" xfId="13942"/>
    <cellStyle name="常规 12 4 2 5" xfId="13943"/>
    <cellStyle name="常规 12 4 2 6" xfId="13944"/>
    <cellStyle name="常规 12 4 3" xfId="13945"/>
    <cellStyle name="常规 12 4 3 2" xfId="13946"/>
    <cellStyle name="常规 12 4 3 2 2" xfId="13947"/>
    <cellStyle name="常规 12 4 3 3" xfId="13948"/>
    <cellStyle name="常规 12 4 3 4" xfId="13949"/>
    <cellStyle name="常规 12 4 4" xfId="13950"/>
    <cellStyle name="常规 12 4 4 2" xfId="13951"/>
    <cellStyle name="常规 12 4 4 2 2" xfId="13952"/>
    <cellStyle name="常规 12 4 4 3" xfId="13953"/>
    <cellStyle name="常规 12 4 4 4" xfId="13954"/>
    <cellStyle name="常规 12 4 5" xfId="13955"/>
    <cellStyle name="常规 12 4 5 2" xfId="13956"/>
    <cellStyle name="常规 12 4 6" xfId="13957"/>
    <cellStyle name="常规 12 4 7" xfId="13958"/>
    <cellStyle name="常规 12 4 8" xfId="13959"/>
    <cellStyle name="常规 12 4 9" xfId="13960"/>
    <cellStyle name="常规 12 5" xfId="13961"/>
    <cellStyle name="常规 12 5 2" xfId="13962"/>
    <cellStyle name="常规 12 5 2 2" xfId="13963"/>
    <cellStyle name="常规 12 5 2 2 2" xfId="13964"/>
    <cellStyle name="常规 12 5 2 3" xfId="13965"/>
    <cellStyle name="常规 12 5 2 4" xfId="13966"/>
    <cellStyle name="常规 12 5 3" xfId="13967"/>
    <cellStyle name="常规 12 5 3 2" xfId="13968"/>
    <cellStyle name="常规 12 5 4" xfId="13969"/>
    <cellStyle name="常规 12 5 4 2" xfId="13970"/>
    <cellStyle name="常规 12 5 5" xfId="13971"/>
    <cellStyle name="常规 12 5 6" xfId="13972"/>
    <cellStyle name="常规 12 5 7" xfId="13973"/>
    <cellStyle name="常规 12 6" xfId="13974"/>
    <cellStyle name="常规 12 6 2" xfId="13975"/>
    <cellStyle name="常规 12 6 2 2" xfId="13976"/>
    <cellStyle name="常规 12 6 2 2 2" xfId="13977"/>
    <cellStyle name="常规 12 6 2 3" xfId="13978"/>
    <cellStyle name="常规 12 6 2 4" xfId="13979"/>
    <cellStyle name="常规 12 6 3" xfId="13980"/>
    <cellStyle name="常规 12 6 3 2" xfId="13981"/>
    <cellStyle name="常规 12 6 4" xfId="13982"/>
    <cellStyle name="常规 12 6 5" xfId="13983"/>
    <cellStyle name="常规 12 6 6" xfId="13984"/>
    <cellStyle name="常规 12 7" xfId="13985"/>
    <cellStyle name="常规 12 7 2" xfId="13986"/>
    <cellStyle name="常规 12 7 2 2" xfId="13987"/>
    <cellStyle name="常规 12 7 3" xfId="13988"/>
    <cellStyle name="常规 12 7 4" xfId="13989"/>
    <cellStyle name="常规 12 7 5" xfId="13990"/>
    <cellStyle name="常规 12 8" xfId="13991"/>
    <cellStyle name="常规 12 8 2" xfId="13992"/>
    <cellStyle name="常规 12 8 3" xfId="13993"/>
    <cellStyle name="常规 12 9" xfId="13994"/>
    <cellStyle name="常规 12 9 2" xfId="13995"/>
    <cellStyle name="常规 13" xfId="13996"/>
    <cellStyle name="常规 13 10" xfId="13997"/>
    <cellStyle name="常规 13 10 10" xfId="13998"/>
    <cellStyle name="常规 13 10 2" xfId="13999"/>
    <cellStyle name="常规 13 10 2 2" xfId="14000"/>
    <cellStyle name="常规 13 10 2 2 2" xfId="14001"/>
    <cellStyle name="常规 13 10 2 2 3" xfId="14002"/>
    <cellStyle name="常规 13 10 2 2 4" xfId="14003"/>
    <cellStyle name="常规 13 10 2 2 5" xfId="14004"/>
    <cellStyle name="常规 13 10 2 2 6" xfId="14005"/>
    <cellStyle name="常规 13 10 2 3" xfId="14006"/>
    <cellStyle name="常规 13 10 2 4" xfId="14007"/>
    <cellStyle name="常规 13 10 2 5" xfId="14008"/>
    <cellStyle name="常规 13 10 2 6" xfId="14009"/>
    <cellStyle name="常规 13 10 2 7" xfId="14010"/>
    <cellStyle name="常规 13 10 3" xfId="14011"/>
    <cellStyle name="常规 13 10 3 2" xfId="14012"/>
    <cellStyle name="常规 13 10 3 2 2" xfId="14013"/>
    <cellStyle name="常规 13 10 3 2 3" xfId="14014"/>
    <cellStyle name="常规 13 10 3 2 4" xfId="14015"/>
    <cellStyle name="常规 13 10 3 2 5" xfId="14016"/>
    <cellStyle name="常规 13 10 3 2 6" xfId="14017"/>
    <cellStyle name="常规 13 10 3 3" xfId="14018"/>
    <cellStyle name="常规 13 10 3 4" xfId="14019"/>
    <cellStyle name="常规 13 10 3 5" xfId="14020"/>
    <cellStyle name="常规 13 10 3 6" xfId="14021"/>
    <cellStyle name="常规 13 10 3 7" xfId="14022"/>
    <cellStyle name="常规 13 10 4" xfId="14023"/>
    <cellStyle name="常规 13 10 4 2" xfId="14024"/>
    <cellStyle name="常规 13 10 4 3" xfId="14025"/>
    <cellStyle name="常规 13 10 4 4" xfId="14026"/>
    <cellStyle name="常规 13 10 4 5" xfId="14027"/>
    <cellStyle name="常规 13 10 4 6" xfId="14028"/>
    <cellStyle name="常规 13 10 5" xfId="14029"/>
    <cellStyle name="常规 13 10 6" xfId="14030"/>
    <cellStyle name="常规 13 10 7" xfId="14031"/>
    <cellStyle name="常规 13 10 8" xfId="14032"/>
    <cellStyle name="常规 13 10 9" xfId="14033"/>
    <cellStyle name="常规 13 11" xfId="14034"/>
    <cellStyle name="常规 13 11 2" xfId="14035"/>
    <cellStyle name="常规 13 11 2 2" xfId="14036"/>
    <cellStyle name="常规 13 11 2 2 2" xfId="14037"/>
    <cellStyle name="常规 13 11 2 2 3" xfId="14038"/>
    <cellStyle name="常规 13 11 2 2 4" xfId="14039"/>
    <cellStyle name="常规 13 11 2 2 5" xfId="14040"/>
    <cellStyle name="常规 13 11 2 2 6" xfId="14041"/>
    <cellStyle name="常规 13 11 2 3" xfId="14042"/>
    <cellStyle name="常规 13 11 2 4" xfId="14043"/>
    <cellStyle name="常规 13 11 2 5" xfId="14044"/>
    <cellStyle name="常规 13 11 2 6" xfId="14045"/>
    <cellStyle name="常规 13 11 2 7" xfId="14046"/>
    <cellStyle name="常规 13 11 3" xfId="14047"/>
    <cellStyle name="常规 13 11 3 2" xfId="14048"/>
    <cellStyle name="常规 13 11 3 3" xfId="14049"/>
    <cellStyle name="常规 13 11 3 4" xfId="14050"/>
    <cellStyle name="常规 13 11 3 5" xfId="14051"/>
    <cellStyle name="常规 13 11 3 6" xfId="14052"/>
    <cellStyle name="常规 13 11 4" xfId="14053"/>
    <cellStyle name="常规 13 11 5" xfId="14054"/>
    <cellStyle name="常规 13 11 6" xfId="14055"/>
    <cellStyle name="常规 13 11 7" xfId="14056"/>
    <cellStyle name="常规 13 11 8" xfId="14057"/>
    <cellStyle name="常规 13 12" xfId="14058"/>
    <cellStyle name="常规 13 12 2" xfId="14059"/>
    <cellStyle name="常规 13 12 2 2" xfId="14060"/>
    <cellStyle name="常规 13 12 2 2 2" xfId="14061"/>
    <cellStyle name="常规 13 12 2 2 3" xfId="14062"/>
    <cellStyle name="常规 13 12 2 2 4" xfId="14063"/>
    <cellStyle name="常规 13 12 2 2 5" xfId="14064"/>
    <cellStyle name="常规 13 12 2 2 6" xfId="14065"/>
    <cellStyle name="常规 13 12 2 3" xfId="14066"/>
    <cellStyle name="常规 13 12 2 4" xfId="14067"/>
    <cellStyle name="常规 13 12 2 5" xfId="14068"/>
    <cellStyle name="常规 13 12 2 6" xfId="14069"/>
    <cellStyle name="常规 13 12 2 7" xfId="14070"/>
    <cellStyle name="常规 13 12 3" xfId="14071"/>
    <cellStyle name="常规 13 12 3 2" xfId="14072"/>
    <cellStyle name="常规 13 12 3 3" xfId="14073"/>
    <cellStyle name="常规 13 12 3 4" xfId="14074"/>
    <cellStyle name="常规 13 12 3 5" xfId="14075"/>
    <cellStyle name="常规 13 12 3 6" xfId="14076"/>
    <cellStyle name="常规 13 12 4" xfId="14077"/>
    <cellStyle name="常规 13 12 5" xfId="14078"/>
    <cellStyle name="常规 13 12 6" xfId="14079"/>
    <cellStyle name="常规 13 12 7" xfId="14080"/>
    <cellStyle name="常规 13 12 8" xfId="14081"/>
    <cellStyle name="常规 13 13" xfId="14082"/>
    <cellStyle name="常规 13 13 2" xfId="14083"/>
    <cellStyle name="常规 13 13 2 2" xfId="14084"/>
    <cellStyle name="常规 13 13 2 2 2" xfId="14085"/>
    <cellStyle name="常规 13 13 2 2 3" xfId="14086"/>
    <cellStyle name="常规 13 13 2 2 4" xfId="14087"/>
    <cellStyle name="常规 13 13 2 2 5" xfId="14088"/>
    <cellStyle name="常规 13 13 2 2 6" xfId="14089"/>
    <cellStyle name="常规 13 13 2 3" xfId="14090"/>
    <cellStyle name="常规 13 13 2 4" xfId="14091"/>
    <cellStyle name="常规 13 13 2 5" xfId="14092"/>
    <cellStyle name="常规 13 13 2 6" xfId="14093"/>
    <cellStyle name="常规 13 13 2 7" xfId="14094"/>
    <cellStyle name="常规 13 13 3" xfId="14095"/>
    <cellStyle name="常规 13 13 3 2" xfId="14096"/>
    <cellStyle name="常规 13 13 3 3" xfId="14097"/>
    <cellStyle name="常规 13 13 3 4" xfId="14098"/>
    <cellStyle name="常规 13 13 3 5" xfId="14099"/>
    <cellStyle name="常规 13 13 3 6" xfId="14100"/>
    <cellStyle name="常规 13 13 4" xfId="14101"/>
    <cellStyle name="常规 13 13 5" xfId="14102"/>
    <cellStyle name="常规 13 13 6" xfId="14103"/>
    <cellStyle name="常规 13 13 7" xfId="14104"/>
    <cellStyle name="常规 13 13 8" xfId="14105"/>
    <cellStyle name="常规 13 14" xfId="14106"/>
    <cellStyle name="常规 13 14 2" xfId="14107"/>
    <cellStyle name="常规 13 14 2 2" xfId="14108"/>
    <cellStyle name="常规 13 14 2 2 2" xfId="14109"/>
    <cellStyle name="常规 13 14 2 2 3" xfId="14110"/>
    <cellStyle name="常规 13 14 2 2 4" xfId="14111"/>
    <cellStyle name="常规 13 14 2 2 5" xfId="14112"/>
    <cellStyle name="常规 13 14 2 2 6" xfId="14113"/>
    <cellStyle name="常规 13 14 2 3" xfId="14114"/>
    <cellStyle name="常规 13 14 2 4" xfId="14115"/>
    <cellStyle name="常规 13 14 2 5" xfId="14116"/>
    <cellStyle name="常规 13 14 2 6" xfId="14117"/>
    <cellStyle name="常规 13 14 2 7" xfId="14118"/>
    <cellStyle name="常规 13 14 3" xfId="14119"/>
    <cellStyle name="常规 13 14 3 2" xfId="14120"/>
    <cellStyle name="常规 13 14 3 3" xfId="14121"/>
    <cellStyle name="常规 13 14 3 4" xfId="14122"/>
    <cellStyle name="常规 13 14 3 5" xfId="14123"/>
    <cellStyle name="常规 13 14 3 6" xfId="14124"/>
    <cellStyle name="常规 13 14 4" xfId="14125"/>
    <cellStyle name="常规 13 14 5" xfId="14126"/>
    <cellStyle name="常规 13 14 6" xfId="14127"/>
    <cellStyle name="常规 13 14 7" xfId="14128"/>
    <cellStyle name="常规 13 14 8" xfId="14129"/>
    <cellStyle name="常规 13 15" xfId="14130"/>
    <cellStyle name="常规 13 15 2" xfId="14131"/>
    <cellStyle name="常规 13 15 2 2" xfId="14132"/>
    <cellStyle name="常规 13 15 2 3" xfId="14133"/>
    <cellStyle name="常规 13 15 2 4" xfId="14134"/>
    <cellStyle name="常规 13 15 2 5" xfId="14135"/>
    <cellStyle name="常规 13 15 2 6" xfId="14136"/>
    <cellStyle name="常规 13 15 3" xfId="14137"/>
    <cellStyle name="常规 13 15 4" xfId="14138"/>
    <cellStyle name="常规 13 15 5" xfId="14139"/>
    <cellStyle name="常规 13 15 6" xfId="14140"/>
    <cellStyle name="常规 13 15 7" xfId="14141"/>
    <cellStyle name="常规 13 16" xfId="14142"/>
    <cellStyle name="常规 13 16 2" xfId="14143"/>
    <cellStyle name="常规 13 16 2 2" xfId="14144"/>
    <cellStyle name="常规 13 16 2 3" xfId="14145"/>
    <cellStyle name="常规 13 16 2 4" xfId="14146"/>
    <cellStyle name="常规 13 16 2 5" xfId="14147"/>
    <cellStyle name="常规 13 16 2 6" xfId="14148"/>
    <cellStyle name="常规 13 16 3" xfId="14149"/>
    <cellStyle name="常规 13 16 4" xfId="14150"/>
    <cellStyle name="常规 13 16 5" xfId="14151"/>
    <cellStyle name="常规 13 16 6" xfId="14152"/>
    <cellStyle name="常规 13 16 7" xfId="14153"/>
    <cellStyle name="常规 13 17" xfId="14154"/>
    <cellStyle name="常规 13 17 2" xfId="14155"/>
    <cellStyle name="常规 13 17 2 2" xfId="14156"/>
    <cellStyle name="常规 13 17 2 3" xfId="14157"/>
    <cellStyle name="常规 13 17 2 4" xfId="14158"/>
    <cellStyle name="常规 13 17 2 5" xfId="14159"/>
    <cellStyle name="常规 13 17 2 6" xfId="14160"/>
    <cellStyle name="常规 13 17 3" xfId="14161"/>
    <cellStyle name="常规 13 17 4" xfId="14162"/>
    <cellStyle name="常规 13 17 5" xfId="14163"/>
    <cellStyle name="常规 13 17 6" xfId="14164"/>
    <cellStyle name="常规 13 17 7" xfId="14165"/>
    <cellStyle name="常规 13 18" xfId="14166"/>
    <cellStyle name="常规 13 18 2" xfId="14167"/>
    <cellStyle name="常规 13 18 2 2" xfId="14168"/>
    <cellStyle name="常规 13 18 2 3" xfId="14169"/>
    <cellStyle name="常规 13 18 2 4" xfId="14170"/>
    <cellStyle name="常规 13 18 2 5" xfId="14171"/>
    <cellStyle name="常规 13 18 2 6" xfId="14172"/>
    <cellStyle name="常规 13 18 3" xfId="14173"/>
    <cellStyle name="常规 13 18 4" xfId="14174"/>
    <cellStyle name="常规 13 18 5" xfId="14175"/>
    <cellStyle name="常规 13 18 6" xfId="14176"/>
    <cellStyle name="常规 13 18 7" xfId="14177"/>
    <cellStyle name="常规 13 19" xfId="14178"/>
    <cellStyle name="常规 13 19 2" xfId="14179"/>
    <cellStyle name="常规 13 19 2 2" xfId="14180"/>
    <cellStyle name="常规 13 19 2 3" xfId="14181"/>
    <cellStyle name="常规 13 19 2 4" xfId="14182"/>
    <cellStyle name="常规 13 19 2 5" xfId="14183"/>
    <cellStyle name="常规 13 19 2 6" xfId="14184"/>
    <cellStyle name="常规 13 19 3" xfId="14185"/>
    <cellStyle name="常规 13 19 4" xfId="14186"/>
    <cellStyle name="常规 13 19 5" xfId="14187"/>
    <cellStyle name="常规 13 19 6" xfId="14188"/>
    <cellStyle name="常规 13 19 7" xfId="14189"/>
    <cellStyle name="常规 13 2" xfId="14190"/>
    <cellStyle name="常规 13 2 10" xfId="14191"/>
    <cellStyle name="常规 13 2 10 2" xfId="14192"/>
    <cellStyle name="常规 13 2 10 2 2" xfId="14193"/>
    <cellStyle name="常规 13 2 10 2 3" xfId="14194"/>
    <cellStyle name="常规 13 2 10 2 4" xfId="14195"/>
    <cellStyle name="常规 13 2 10 2 5" xfId="14196"/>
    <cellStyle name="常规 13 2 10 2 6" xfId="14197"/>
    <cellStyle name="常规 13 2 10 3" xfId="14198"/>
    <cellStyle name="常规 13 2 10 4" xfId="14199"/>
    <cellStyle name="常规 13 2 10 5" xfId="14200"/>
    <cellStyle name="常规 13 2 10 6" xfId="14201"/>
    <cellStyle name="常规 13 2 10 7" xfId="14202"/>
    <cellStyle name="常规 13 2 11" xfId="14203"/>
    <cellStyle name="常规 13 2 11 2" xfId="14204"/>
    <cellStyle name="常规 13 2 11 2 2" xfId="14205"/>
    <cellStyle name="常规 13 2 11 2 3" xfId="14206"/>
    <cellStyle name="常规 13 2 11 2 4" xfId="14207"/>
    <cellStyle name="常规 13 2 11 2 5" xfId="14208"/>
    <cellStyle name="常规 13 2 11 2 6" xfId="14209"/>
    <cellStyle name="常规 13 2 11 3" xfId="14210"/>
    <cellStyle name="常规 13 2 11 4" xfId="14211"/>
    <cellStyle name="常规 13 2 11 5" xfId="14212"/>
    <cellStyle name="常规 13 2 11 6" xfId="14213"/>
    <cellStyle name="常规 13 2 11 7" xfId="14214"/>
    <cellStyle name="常规 13 2 12" xfId="14215"/>
    <cellStyle name="常规 13 2 2" xfId="14216"/>
    <cellStyle name="常规 13 2 2 2" xfId="14217"/>
    <cellStyle name="常规 13 2 2 2 2" xfId="14218"/>
    <cellStyle name="常规 13 2 2 2 2 2" xfId="14219"/>
    <cellStyle name="常规 13 2 2 2 2 2 2" xfId="14220"/>
    <cellStyle name="常规 13 2 2 2 2 3" xfId="14221"/>
    <cellStyle name="常规 13 2 2 2 2 4" xfId="14222"/>
    <cellStyle name="常规 13 2 2 2 3" xfId="14223"/>
    <cellStyle name="常规 13 2 2 2 3 2" xfId="14224"/>
    <cellStyle name="常规 13 2 2 2 4" xfId="14225"/>
    <cellStyle name="常规 13 2 2 2 5" xfId="14226"/>
    <cellStyle name="常规 13 2 2 3" xfId="14227"/>
    <cellStyle name="常规 13 2 2 3 2" xfId="14228"/>
    <cellStyle name="常规 13 2 2 3 2 2" xfId="14229"/>
    <cellStyle name="常规 13 2 2 3 3" xfId="14230"/>
    <cellStyle name="常规 13 2 2 3 4" xfId="14231"/>
    <cellStyle name="常规 13 2 2 4" xfId="14232"/>
    <cellStyle name="常规 13 2 2 4 2" xfId="14233"/>
    <cellStyle name="常规 13 2 2 5" xfId="14234"/>
    <cellStyle name="常规 13 2 2 6" xfId="14235"/>
    <cellStyle name="常规 13 2 2 7" xfId="14236"/>
    <cellStyle name="常规 13 2 3" xfId="14237"/>
    <cellStyle name="常规 13 2 3 2" xfId="14238"/>
    <cellStyle name="常规 13 2 3 2 2" xfId="14239"/>
    <cellStyle name="常规 13 2 3 2 2 2" xfId="14240"/>
    <cellStyle name="常规 13 2 3 2 2 3" xfId="14241"/>
    <cellStyle name="常规 13 2 3 2 3" xfId="14242"/>
    <cellStyle name="常规 13 2 3 2 3 2" xfId="14243"/>
    <cellStyle name="常规 13 2 3 2 4" xfId="14244"/>
    <cellStyle name="常规 13 2 3 2 4 2" xfId="14245"/>
    <cellStyle name="常规 13 2 3 2 5" xfId="14246"/>
    <cellStyle name="常规 13 2 3 2 6" xfId="14247"/>
    <cellStyle name="常规 13 2 3 2 7" xfId="14248"/>
    <cellStyle name="常规 13 2 3 3" xfId="14249"/>
    <cellStyle name="常规 13 2 3 3 2" xfId="14250"/>
    <cellStyle name="常规 13 2 3 3 2 2" xfId="14251"/>
    <cellStyle name="常规 13 2 3 3 3" xfId="14252"/>
    <cellStyle name="常规 13 2 3 3 4" xfId="14253"/>
    <cellStyle name="常规 13 2 3 3 5" xfId="14254"/>
    <cellStyle name="常规 13 2 3 4" xfId="14255"/>
    <cellStyle name="常规 13 2 3 4 2" xfId="14256"/>
    <cellStyle name="常规 13 2 3 4 3" xfId="14257"/>
    <cellStyle name="常规 13 2 3 5" xfId="14258"/>
    <cellStyle name="常规 13 2 3 5 2" xfId="14259"/>
    <cellStyle name="常规 13 2 3 6" xfId="14260"/>
    <cellStyle name="常规 13 2 3 6 2" xfId="14261"/>
    <cellStyle name="常规 13 2 3 7" xfId="14262"/>
    <cellStyle name="常规 13 2 3 8" xfId="14263"/>
    <cellStyle name="常规 13 2 4" xfId="14264"/>
    <cellStyle name="常规 13 2 4 2" xfId="14265"/>
    <cellStyle name="常规 13 2 4 2 2" xfId="14266"/>
    <cellStyle name="常规 13 2 4 2 3" xfId="14267"/>
    <cellStyle name="常规 13 2 4 2 4" xfId="14268"/>
    <cellStyle name="常规 13 2 4 2 5" xfId="14269"/>
    <cellStyle name="常规 13 2 4 2 6" xfId="14270"/>
    <cellStyle name="常规 13 2 4 2 7" xfId="14271"/>
    <cellStyle name="常规 13 2 4 2 8" xfId="14272"/>
    <cellStyle name="常规 13 2 4 3" xfId="14273"/>
    <cellStyle name="常规 13 2 4 3 2" xfId="14274"/>
    <cellStyle name="常规 13 2 4 4" xfId="14275"/>
    <cellStyle name="常规 13 2 4 4 2" xfId="14276"/>
    <cellStyle name="常规 13 2 4 5" xfId="14277"/>
    <cellStyle name="常规 13 2 4 6" xfId="14278"/>
    <cellStyle name="常规 13 2 4 7" xfId="14279"/>
    <cellStyle name="常规 13 2 4 8" xfId="14280"/>
    <cellStyle name="常规 13 2 5" xfId="14281"/>
    <cellStyle name="常规 13 2 5 2" xfId="14282"/>
    <cellStyle name="常规 13 2 5 2 2" xfId="14283"/>
    <cellStyle name="常规 13 2 5 2 3" xfId="14284"/>
    <cellStyle name="常规 13 2 5 2 4" xfId="14285"/>
    <cellStyle name="常规 13 2 5 2 5" xfId="14286"/>
    <cellStyle name="常规 13 2 5 2 6" xfId="14287"/>
    <cellStyle name="常规 13 2 5 2 7" xfId="14288"/>
    <cellStyle name="常规 13 2 5 2 8" xfId="14289"/>
    <cellStyle name="常规 13 2 5 3" xfId="14290"/>
    <cellStyle name="常规 13 2 5 3 2" xfId="14291"/>
    <cellStyle name="常规 13 2 5 4" xfId="14292"/>
    <cellStyle name="常规 13 2 5 4 2" xfId="14293"/>
    <cellStyle name="常规 13 2 5 5" xfId="14294"/>
    <cellStyle name="常规 13 2 5 6" xfId="14295"/>
    <cellStyle name="常规 13 2 5 7" xfId="14296"/>
    <cellStyle name="常规 13 2 5 8" xfId="14297"/>
    <cellStyle name="常规 13 2 6" xfId="14298"/>
    <cellStyle name="常规 13 2 6 2" xfId="14299"/>
    <cellStyle name="常规 13 2 6 2 2" xfId="14300"/>
    <cellStyle name="常规 13 2 6 2 3" xfId="14301"/>
    <cellStyle name="常规 13 2 6 2 4" xfId="14302"/>
    <cellStyle name="常规 13 2 6 2 5" xfId="14303"/>
    <cellStyle name="常规 13 2 6 2 6" xfId="14304"/>
    <cellStyle name="常规 13 2 6 3" xfId="14305"/>
    <cellStyle name="常规 13 2 6 4" xfId="14306"/>
    <cellStyle name="常规 13 2 6 5" xfId="14307"/>
    <cellStyle name="常规 13 2 6 6" xfId="14308"/>
    <cellStyle name="常规 13 2 6 7" xfId="14309"/>
    <cellStyle name="常规 13 2 6 8" xfId="14310"/>
    <cellStyle name="常规 13 2 6 9" xfId="14311"/>
    <cellStyle name="常规 13 2 7" xfId="14312"/>
    <cellStyle name="常规 13 2 7 2" xfId="14313"/>
    <cellStyle name="常规 13 2 7 2 2" xfId="14314"/>
    <cellStyle name="常规 13 2 7 2 3" xfId="14315"/>
    <cellStyle name="常规 13 2 7 2 4" xfId="14316"/>
    <cellStyle name="常规 13 2 7 2 5" xfId="14317"/>
    <cellStyle name="常规 13 2 7 2 6" xfId="14318"/>
    <cellStyle name="常规 13 2 7 3" xfId="14319"/>
    <cellStyle name="常规 13 2 7 4" xfId="14320"/>
    <cellStyle name="常规 13 2 7 5" xfId="14321"/>
    <cellStyle name="常规 13 2 7 6" xfId="14322"/>
    <cellStyle name="常规 13 2 7 7" xfId="14323"/>
    <cellStyle name="常规 13 2 7 8" xfId="14324"/>
    <cellStyle name="常规 13 2 8" xfId="14325"/>
    <cellStyle name="常规 13 2 8 2" xfId="14326"/>
    <cellStyle name="常规 13 2 8 2 2" xfId="14327"/>
    <cellStyle name="常规 13 2 8 2 3" xfId="14328"/>
    <cellStyle name="常规 13 2 8 2 4" xfId="14329"/>
    <cellStyle name="常规 13 2 8 2 5" xfId="14330"/>
    <cellStyle name="常规 13 2 8 2 6" xfId="14331"/>
    <cellStyle name="常规 13 2 8 3" xfId="14332"/>
    <cellStyle name="常规 13 2 8 4" xfId="14333"/>
    <cellStyle name="常规 13 2 8 5" xfId="14334"/>
    <cellStyle name="常规 13 2 8 6" xfId="14335"/>
    <cellStyle name="常规 13 2 8 7" xfId="14336"/>
    <cellStyle name="常规 13 2 8 8" xfId="14337"/>
    <cellStyle name="常规 13 2 9" xfId="14338"/>
    <cellStyle name="常规 13 2 9 2" xfId="14339"/>
    <cellStyle name="常规 13 2 9 2 2" xfId="14340"/>
    <cellStyle name="常规 13 2 9 2 3" xfId="14341"/>
    <cellStyle name="常规 13 2 9 2 4" xfId="14342"/>
    <cellStyle name="常规 13 2 9 2 5" xfId="14343"/>
    <cellStyle name="常规 13 2 9 2 6" xfId="14344"/>
    <cellStyle name="常规 13 2 9 3" xfId="14345"/>
    <cellStyle name="常规 13 2 9 4" xfId="14346"/>
    <cellStyle name="常规 13 2 9 5" xfId="14347"/>
    <cellStyle name="常规 13 2 9 6" xfId="14348"/>
    <cellStyle name="常规 13 2 9 7" xfId="14349"/>
    <cellStyle name="常规 13 20" xfId="14350"/>
    <cellStyle name="常规 13 21" xfId="14351"/>
    <cellStyle name="常规 13 3" xfId="14352"/>
    <cellStyle name="常规 13 3 10" xfId="14353"/>
    <cellStyle name="常规 13 3 2" xfId="14354"/>
    <cellStyle name="常规 13 3 2 2" xfId="14355"/>
    <cellStyle name="常规 13 3 2 2 2" xfId="14356"/>
    <cellStyle name="常规 13 3 2 2 2 2" xfId="14357"/>
    <cellStyle name="常规 13 3 2 2 2 3" xfId="14358"/>
    <cellStyle name="常规 13 3 2 2 3" xfId="14359"/>
    <cellStyle name="常规 13 3 2 2 3 2" xfId="14360"/>
    <cellStyle name="常规 13 3 2 2 4" xfId="14361"/>
    <cellStyle name="常规 13 3 2 2 4 2" xfId="14362"/>
    <cellStyle name="常规 13 3 2 2 5" xfId="14363"/>
    <cellStyle name="常规 13 3 2 2 6" xfId="14364"/>
    <cellStyle name="常规 13 3 2 2 7" xfId="14365"/>
    <cellStyle name="常规 13 3 2 3" xfId="14366"/>
    <cellStyle name="常规 13 3 2 3 2" xfId="14367"/>
    <cellStyle name="常规 13 3 2 3 2 2" xfId="14368"/>
    <cellStyle name="常规 13 3 2 3 3" xfId="14369"/>
    <cellStyle name="常规 13 3 2 3 4" xfId="14370"/>
    <cellStyle name="常规 13 3 2 3 5" xfId="14371"/>
    <cellStyle name="常规 13 3 2 4" xfId="14372"/>
    <cellStyle name="常规 13 3 2 4 2" xfId="14373"/>
    <cellStyle name="常规 13 3 2 4 3" xfId="14374"/>
    <cellStyle name="常规 13 3 2 5" xfId="14375"/>
    <cellStyle name="常规 13 3 2 5 2" xfId="14376"/>
    <cellStyle name="常规 13 3 2 6" xfId="14377"/>
    <cellStyle name="常规 13 3 2 6 2" xfId="14378"/>
    <cellStyle name="常规 13 3 2 7" xfId="14379"/>
    <cellStyle name="常规 13 3 2 8" xfId="14380"/>
    <cellStyle name="常规 13 3 3" xfId="14381"/>
    <cellStyle name="常规 13 3 3 2" xfId="14382"/>
    <cellStyle name="常规 13 3 3 2 2" xfId="14383"/>
    <cellStyle name="常规 13 3 3 2 3" xfId="14384"/>
    <cellStyle name="常规 13 3 3 2 4" xfId="14385"/>
    <cellStyle name="常规 13 3 3 2 5" xfId="14386"/>
    <cellStyle name="常规 13 3 3 2 6" xfId="14387"/>
    <cellStyle name="常规 13 3 3 2 7" xfId="14388"/>
    <cellStyle name="常规 13 3 3 2 8" xfId="14389"/>
    <cellStyle name="常规 13 3 3 3" xfId="14390"/>
    <cellStyle name="常规 13 3 3 3 2" xfId="14391"/>
    <cellStyle name="常规 13 3 3 4" xfId="14392"/>
    <cellStyle name="常规 13 3 3 4 2" xfId="14393"/>
    <cellStyle name="常规 13 3 3 5" xfId="14394"/>
    <cellStyle name="常规 13 3 3 6" xfId="14395"/>
    <cellStyle name="常规 13 3 3 7" xfId="14396"/>
    <cellStyle name="常规 13 3 3 8" xfId="14397"/>
    <cellStyle name="常规 13 3 4" xfId="14398"/>
    <cellStyle name="常规 13 3 4 2" xfId="14399"/>
    <cellStyle name="常规 13 3 4 2 2" xfId="14400"/>
    <cellStyle name="常规 13 3 4 2 3" xfId="14401"/>
    <cellStyle name="常规 13 3 4 2 4" xfId="14402"/>
    <cellStyle name="常规 13 3 4 2 5" xfId="14403"/>
    <cellStyle name="常规 13 3 4 2 6" xfId="14404"/>
    <cellStyle name="常规 13 3 4 2 7" xfId="14405"/>
    <cellStyle name="常规 13 3 4 2 8" xfId="14406"/>
    <cellStyle name="常规 13 3 4 3" xfId="14407"/>
    <cellStyle name="常规 13 3 4 3 2" xfId="14408"/>
    <cellStyle name="常规 13 3 4 4" xfId="14409"/>
    <cellStyle name="常规 13 3 4 4 2" xfId="14410"/>
    <cellStyle name="常规 13 3 4 5" xfId="14411"/>
    <cellStyle name="常规 13 3 4 6" xfId="14412"/>
    <cellStyle name="常规 13 3 4 7" xfId="14413"/>
    <cellStyle name="常规 13 3 4 8" xfId="14414"/>
    <cellStyle name="常规 13 3 5" xfId="14415"/>
    <cellStyle name="常规 13 3 5 2" xfId="14416"/>
    <cellStyle name="常规 13 3 5 2 2" xfId="14417"/>
    <cellStyle name="常规 13 3 5 2 3" xfId="14418"/>
    <cellStyle name="常规 13 3 5 2 4" xfId="14419"/>
    <cellStyle name="常规 13 3 5 2 5" xfId="14420"/>
    <cellStyle name="常规 13 3 5 2 6" xfId="14421"/>
    <cellStyle name="常规 13 3 5 3" xfId="14422"/>
    <cellStyle name="常规 13 3 5 4" xfId="14423"/>
    <cellStyle name="常规 13 3 5 5" xfId="14424"/>
    <cellStyle name="常规 13 3 5 6" xfId="14425"/>
    <cellStyle name="常规 13 3 5 7" xfId="14426"/>
    <cellStyle name="常规 13 3 5 8" xfId="14427"/>
    <cellStyle name="常规 13 3 5 9" xfId="14428"/>
    <cellStyle name="常规 13 3 6" xfId="14429"/>
    <cellStyle name="常规 13 3 6 2" xfId="14430"/>
    <cellStyle name="常规 13 3 6 2 2" xfId="14431"/>
    <cellStyle name="常规 13 3 6 2 3" xfId="14432"/>
    <cellStyle name="常规 13 3 6 2 4" xfId="14433"/>
    <cellStyle name="常规 13 3 6 2 5" xfId="14434"/>
    <cellStyle name="常规 13 3 6 2 6" xfId="14435"/>
    <cellStyle name="常规 13 3 6 3" xfId="14436"/>
    <cellStyle name="常规 13 3 6 4" xfId="14437"/>
    <cellStyle name="常规 13 3 6 5" xfId="14438"/>
    <cellStyle name="常规 13 3 6 6" xfId="14439"/>
    <cellStyle name="常规 13 3 6 7" xfId="14440"/>
    <cellStyle name="常规 13 3 6 8" xfId="14441"/>
    <cellStyle name="常规 13 3 7" xfId="14442"/>
    <cellStyle name="常规 13 3 7 2" xfId="14443"/>
    <cellStyle name="常规 13 3 7 2 2" xfId="14444"/>
    <cellStyle name="常规 13 3 7 2 3" xfId="14445"/>
    <cellStyle name="常规 13 3 7 2 4" xfId="14446"/>
    <cellStyle name="常规 13 3 7 2 5" xfId="14447"/>
    <cellStyle name="常规 13 3 7 2 6" xfId="14448"/>
    <cellStyle name="常规 13 3 7 3" xfId="14449"/>
    <cellStyle name="常规 13 3 7 4" xfId="14450"/>
    <cellStyle name="常规 13 3 7 5" xfId="14451"/>
    <cellStyle name="常规 13 3 7 6" xfId="14452"/>
    <cellStyle name="常规 13 3 7 7" xfId="14453"/>
    <cellStyle name="常规 13 3 7 8" xfId="14454"/>
    <cellStyle name="常规 13 3 8" xfId="14455"/>
    <cellStyle name="常规 13 3 8 2" xfId="14456"/>
    <cellStyle name="常规 13 3 8 2 2" xfId="14457"/>
    <cellStyle name="常规 13 3 8 2 3" xfId="14458"/>
    <cellStyle name="常规 13 3 8 2 4" xfId="14459"/>
    <cellStyle name="常规 13 3 8 2 5" xfId="14460"/>
    <cellStyle name="常规 13 3 8 2 6" xfId="14461"/>
    <cellStyle name="常规 13 3 8 3" xfId="14462"/>
    <cellStyle name="常规 13 3 8 4" xfId="14463"/>
    <cellStyle name="常规 13 3 8 5" xfId="14464"/>
    <cellStyle name="常规 13 3 8 6" xfId="14465"/>
    <cellStyle name="常规 13 3 8 7" xfId="14466"/>
    <cellStyle name="常规 13 3 9" xfId="14467"/>
    <cellStyle name="常规 13 3 9 2" xfId="14468"/>
    <cellStyle name="常规 13 3 9 2 2" xfId="14469"/>
    <cellStyle name="常规 13 3 9 2 3" xfId="14470"/>
    <cellStyle name="常规 13 3 9 2 4" xfId="14471"/>
    <cellStyle name="常规 13 3 9 2 5" xfId="14472"/>
    <cellStyle name="常规 13 3 9 2 6" xfId="14473"/>
    <cellStyle name="常规 13 3 9 3" xfId="14474"/>
    <cellStyle name="常规 13 3 9 4" xfId="14475"/>
    <cellStyle name="常规 13 3 9 5" xfId="14476"/>
    <cellStyle name="常规 13 3 9 6" xfId="14477"/>
    <cellStyle name="常规 13 3 9 7" xfId="14478"/>
    <cellStyle name="常规 13 4" xfId="14479"/>
    <cellStyle name="常规 13 4 10" xfId="14480"/>
    <cellStyle name="常规 13 4 2" xfId="14481"/>
    <cellStyle name="常规 13 4 2 2" xfId="14482"/>
    <cellStyle name="常规 13 4 2 2 2" xfId="14483"/>
    <cellStyle name="常规 13 4 2 2 3" xfId="14484"/>
    <cellStyle name="常规 13 4 2 2 4" xfId="14485"/>
    <cellStyle name="常规 13 4 2 2 5" xfId="14486"/>
    <cellStyle name="常规 13 4 2 2 6" xfId="14487"/>
    <cellStyle name="常规 13 4 2 2 7" xfId="14488"/>
    <cellStyle name="常规 13 4 2 2 8" xfId="14489"/>
    <cellStyle name="常规 13 4 2 3" xfId="14490"/>
    <cellStyle name="常规 13 4 2 3 2" xfId="14491"/>
    <cellStyle name="常规 13 4 2 4" xfId="14492"/>
    <cellStyle name="常规 13 4 2 4 2" xfId="14493"/>
    <cellStyle name="常规 13 4 2 5" xfId="14494"/>
    <cellStyle name="常规 13 4 2 6" xfId="14495"/>
    <cellStyle name="常规 13 4 2 7" xfId="14496"/>
    <cellStyle name="常规 13 4 2 8" xfId="14497"/>
    <cellStyle name="常规 13 4 3" xfId="14498"/>
    <cellStyle name="常规 13 4 3 2" xfId="14499"/>
    <cellStyle name="常规 13 4 3 2 2" xfId="14500"/>
    <cellStyle name="常规 13 4 3 2 3" xfId="14501"/>
    <cellStyle name="常规 13 4 3 2 4" xfId="14502"/>
    <cellStyle name="常规 13 4 3 2 5" xfId="14503"/>
    <cellStyle name="常规 13 4 3 2 6" xfId="14504"/>
    <cellStyle name="常规 13 4 3 2 7" xfId="14505"/>
    <cellStyle name="常规 13 4 3 3" xfId="14506"/>
    <cellStyle name="常规 13 4 3 4" xfId="14507"/>
    <cellStyle name="常规 13 4 3 5" xfId="14508"/>
    <cellStyle name="常规 13 4 3 6" xfId="14509"/>
    <cellStyle name="常规 13 4 3 7" xfId="14510"/>
    <cellStyle name="常规 13 4 3 8" xfId="14511"/>
    <cellStyle name="常规 13 4 4" xfId="14512"/>
    <cellStyle name="常规 13 4 4 2" xfId="14513"/>
    <cellStyle name="常规 13 4 4 2 2" xfId="14514"/>
    <cellStyle name="常规 13 4 4 2 3" xfId="14515"/>
    <cellStyle name="常规 13 4 4 2 4" xfId="14516"/>
    <cellStyle name="常规 13 4 4 2 5" xfId="14517"/>
    <cellStyle name="常规 13 4 4 2 6" xfId="14518"/>
    <cellStyle name="常规 13 4 4 3" xfId="14519"/>
    <cellStyle name="常规 13 4 4 4" xfId="14520"/>
    <cellStyle name="常规 13 4 4 5" xfId="14521"/>
    <cellStyle name="常规 13 4 4 6" xfId="14522"/>
    <cellStyle name="常规 13 4 4 7" xfId="14523"/>
    <cellStyle name="常规 13 4 4 8" xfId="14524"/>
    <cellStyle name="常规 13 4 4 9" xfId="14525"/>
    <cellStyle name="常规 13 4 5" xfId="14526"/>
    <cellStyle name="常规 13 4 5 2" xfId="14527"/>
    <cellStyle name="常规 13 4 5 2 2" xfId="14528"/>
    <cellStyle name="常规 13 4 5 2 3" xfId="14529"/>
    <cellStyle name="常规 13 4 5 2 4" xfId="14530"/>
    <cellStyle name="常规 13 4 5 2 5" xfId="14531"/>
    <cellStyle name="常规 13 4 5 2 6" xfId="14532"/>
    <cellStyle name="常规 13 4 5 3" xfId="14533"/>
    <cellStyle name="常规 13 4 5 4" xfId="14534"/>
    <cellStyle name="常规 13 4 5 5" xfId="14535"/>
    <cellStyle name="常规 13 4 5 6" xfId="14536"/>
    <cellStyle name="常规 13 4 5 7" xfId="14537"/>
    <cellStyle name="常规 13 4 5 8" xfId="14538"/>
    <cellStyle name="常规 13 4 6" xfId="14539"/>
    <cellStyle name="常规 13 4 6 2" xfId="14540"/>
    <cellStyle name="常规 13 4 6 2 2" xfId="14541"/>
    <cellStyle name="常规 13 4 6 2 3" xfId="14542"/>
    <cellStyle name="常规 13 4 6 2 4" xfId="14543"/>
    <cellStyle name="常规 13 4 6 2 5" xfId="14544"/>
    <cellStyle name="常规 13 4 6 2 6" xfId="14545"/>
    <cellStyle name="常规 13 4 6 3" xfId="14546"/>
    <cellStyle name="常规 13 4 6 4" xfId="14547"/>
    <cellStyle name="常规 13 4 6 5" xfId="14548"/>
    <cellStyle name="常规 13 4 6 6" xfId="14549"/>
    <cellStyle name="常规 13 4 6 7" xfId="14550"/>
    <cellStyle name="常规 13 4 6 8" xfId="14551"/>
    <cellStyle name="常规 13 4 7" xfId="14552"/>
    <cellStyle name="常规 13 4 7 2" xfId="14553"/>
    <cellStyle name="常规 13 4 7 2 2" xfId="14554"/>
    <cellStyle name="常规 13 4 7 2 3" xfId="14555"/>
    <cellStyle name="常规 13 4 7 2 4" xfId="14556"/>
    <cellStyle name="常规 13 4 7 2 5" xfId="14557"/>
    <cellStyle name="常规 13 4 7 2 6" xfId="14558"/>
    <cellStyle name="常规 13 4 7 3" xfId="14559"/>
    <cellStyle name="常规 13 4 7 4" xfId="14560"/>
    <cellStyle name="常规 13 4 7 5" xfId="14561"/>
    <cellStyle name="常规 13 4 7 6" xfId="14562"/>
    <cellStyle name="常规 13 4 7 7" xfId="14563"/>
    <cellStyle name="常规 13 4 8" xfId="14564"/>
    <cellStyle name="常规 13 4 8 2" xfId="14565"/>
    <cellStyle name="常规 13 4 8 2 2" xfId="14566"/>
    <cellStyle name="常规 13 4 8 2 3" xfId="14567"/>
    <cellStyle name="常规 13 4 8 2 4" xfId="14568"/>
    <cellStyle name="常规 13 4 8 2 5" xfId="14569"/>
    <cellStyle name="常规 13 4 8 2 6" xfId="14570"/>
    <cellStyle name="常规 13 4 8 3" xfId="14571"/>
    <cellStyle name="常规 13 4 8 4" xfId="14572"/>
    <cellStyle name="常规 13 4 8 5" xfId="14573"/>
    <cellStyle name="常规 13 4 8 6" xfId="14574"/>
    <cellStyle name="常规 13 4 8 7" xfId="14575"/>
    <cellStyle name="常规 13 4 9" xfId="14576"/>
    <cellStyle name="常规 13 4 9 2" xfId="14577"/>
    <cellStyle name="常规 13 4 9 2 2" xfId="14578"/>
    <cellStyle name="常规 13 4 9 2 3" xfId="14579"/>
    <cellStyle name="常规 13 4 9 2 4" xfId="14580"/>
    <cellStyle name="常规 13 4 9 2 5" xfId="14581"/>
    <cellStyle name="常规 13 4 9 2 6" xfId="14582"/>
    <cellStyle name="常规 13 4 9 3" xfId="14583"/>
    <cellStyle name="常规 13 4 9 4" xfId="14584"/>
    <cellStyle name="常规 13 4 9 5" xfId="14585"/>
    <cellStyle name="常规 13 4 9 6" xfId="14586"/>
    <cellStyle name="常规 13 4 9 7" xfId="14587"/>
    <cellStyle name="常规 13 5" xfId="14588"/>
    <cellStyle name="常规 13 5 2" xfId="14589"/>
    <cellStyle name="常规 13 5 2 2" xfId="14590"/>
    <cellStyle name="常规 13 5 2 2 2" xfId="14591"/>
    <cellStyle name="常规 13 5 2 2 3" xfId="14592"/>
    <cellStyle name="常规 13 5 2 2 4" xfId="14593"/>
    <cellStyle name="常规 13 5 2 2 5" xfId="14594"/>
    <cellStyle name="常规 13 5 2 2 6" xfId="14595"/>
    <cellStyle name="常规 13 5 2 2 7" xfId="14596"/>
    <cellStyle name="常规 13 5 2 2 8" xfId="14597"/>
    <cellStyle name="常规 13 5 2 3" xfId="14598"/>
    <cellStyle name="常规 13 5 2 3 2" xfId="14599"/>
    <cellStyle name="常规 13 5 2 4" xfId="14600"/>
    <cellStyle name="常规 13 5 2 4 2" xfId="14601"/>
    <cellStyle name="常规 13 5 2 5" xfId="14602"/>
    <cellStyle name="常规 13 5 2 6" xfId="14603"/>
    <cellStyle name="常规 13 5 2 7" xfId="14604"/>
    <cellStyle name="常规 13 5 2 8" xfId="14605"/>
    <cellStyle name="常规 13 5 3" xfId="14606"/>
    <cellStyle name="常规 13 5 3 2" xfId="14607"/>
    <cellStyle name="常规 13 5 3 2 2" xfId="14608"/>
    <cellStyle name="常规 13 5 3 2 3" xfId="14609"/>
    <cellStyle name="常规 13 5 3 2 4" xfId="14610"/>
    <cellStyle name="常规 13 5 3 2 5" xfId="14611"/>
    <cellStyle name="常规 13 5 3 2 6" xfId="14612"/>
    <cellStyle name="常规 13 5 3 3" xfId="14613"/>
    <cellStyle name="常规 13 5 3 4" xfId="14614"/>
    <cellStyle name="常规 13 5 3 5" xfId="14615"/>
    <cellStyle name="常规 13 5 3 6" xfId="14616"/>
    <cellStyle name="常规 13 5 3 7" xfId="14617"/>
    <cellStyle name="常规 13 5 3 8" xfId="14618"/>
    <cellStyle name="常规 13 5 3 9" xfId="14619"/>
    <cellStyle name="常规 13 5 4" xfId="14620"/>
    <cellStyle name="常规 13 5 4 2" xfId="14621"/>
    <cellStyle name="常规 13 5 4 2 2" xfId="14622"/>
    <cellStyle name="常规 13 5 4 2 3" xfId="14623"/>
    <cellStyle name="常规 13 5 4 2 4" xfId="14624"/>
    <cellStyle name="常规 13 5 4 2 5" xfId="14625"/>
    <cellStyle name="常规 13 5 4 2 6" xfId="14626"/>
    <cellStyle name="常规 13 5 4 3" xfId="14627"/>
    <cellStyle name="常规 13 5 4 4" xfId="14628"/>
    <cellStyle name="常规 13 5 4 5" xfId="14629"/>
    <cellStyle name="常规 13 5 4 6" xfId="14630"/>
    <cellStyle name="常规 13 5 4 7" xfId="14631"/>
    <cellStyle name="常规 13 5 4 8" xfId="14632"/>
    <cellStyle name="常规 13 5 5" xfId="14633"/>
    <cellStyle name="常规 13 5 5 2" xfId="14634"/>
    <cellStyle name="常规 13 5 5 2 2" xfId="14635"/>
    <cellStyle name="常规 13 5 5 2 3" xfId="14636"/>
    <cellStyle name="常规 13 5 5 2 4" xfId="14637"/>
    <cellStyle name="常规 13 5 5 2 5" xfId="14638"/>
    <cellStyle name="常规 13 5 5 2 6" xfId="14639"/>
    <cellStyle name="常规 13 5 5 3" xfId="14640"/>
    <cellStyle name="常规 13 5 5 4" xfId="14641"/>
    <cellStyle name="常规 13 5 5 5" xfId="14642"/>
    <cellStyle name="常规 13 5 5 6" xfId="14643"/>
    <cellStyle name="常规 13 5 5 7" xfId="14644"/>
    <cellStyle name="常规 13 5 5 8" xfId="14645"/>
    <cellStyle name="常规 13 5 6" xfId="14646"/>
    <cellStyle name="常规 13 5 6 2" xfId="14647"/>
    <cellStyle name="常规 13 5 6 2 2" xfId="14648"/>
    <cellStyle name="常规 13 5 6 2 3" xfId="14649"/>
    <cellStyle name="常规 13 5 6 2 4" xfId="14650"/>
    <cellStyle name="常规 13 5 6 2 5" xfId="14651"/>
    <cellStyle name="常规 13 5 6 2 6" xfId="14652"/>
    <cellStyle name="常规 13 5 6 3" xfId="14653"/>
    <cellStyle name="常规 13 5 6 4" xfId="14654"/>
    <cellStyle name="常规 13 5 6 5" xfId="14655"/>
    <cellStyle name="常规 13 5 6 6" xfId="14656"/>
    <cellStyle name="常规 13 5 6 7" xfId="14657"/>
    <cellStyle name="常规 13 5 7" xfId="14658"/>
    <cellStyle name="常规 13 5 7 2" xfId="14659"/>
    <cellStyle name="常规 13 5 7 2 2" xfId="14660"/>
    <cellStyle name="常规 13 5 7 2 3" xfId="14661"/>
    <cellStyle name="常规 13 5 7 2 4" xfId="14662"/>
    <cellStyle name="常规 13 5 7 2 5" xfId="14663"/>
    <cellStyle name="常规 13 5 7 2 6" xfId="14664"/>
    <cellStyle name="常规 13 5 7 3" xfId="14665"/>
    <cellStyle name="常规 13 5 7 4" xfId="14666"/>
    <cellStyle name="常规 13 5 7 5" xfId="14667"/>
    <cellStyle name="常规 13 5 7 6" xfId="14668"/>
    <cellStyle name="常规 13 5 7 7" xfId="14669"/>
    <cellStyle name="常规 13 5 8" xfId="14670"/>
    <cellStyle name="常规 13 5 8 2" xfId="14671"/>
    <cellStyle name="常规 13 5 8 2 2" xfId="14672"/>
    <cellStyle name="常规 13 5 8 2 3" xfId="14673"/>
    <cellStyle name="常规 13 5 8 2 4" xfId="14674"/>
    <cellStyle name="常规 13 5 8 2 5" xfId="14675"/>
    <cellStyle name="常规 13 5 8 2 6" xfId="14676"/>
    <cellStyle name="常规 13 5 8 3" xfId="14677"/>
    <cellStyle name="常规 13 5 8 4" xfId="14678"/>
    <cellStyle name="常规 13 5 8 5" xfId="14679"/>
    <cellStyle name="常规 13 5 8 6" xfId="14680"/>
    <cellStyle name="常规 13 5 8 7" xfId="14681"/>
    <cellStyle name="常规 13 5 9" xfId="14682"/>
    <cellStyle name="常规 13 6" xfId="14683"/>
    <cellStyle name="常规 13 6 10" xfId="14684"/>
    <cellStyle name="常规 13 6 11" xfId="14685"/>
    <cellStyle name="常规 13 6 12" xfId="14686"/>
    <cellStyle name="常规 13 6 13" xfId="14687"/>
    <cellStyle name="常规 13 6 14" xfId="14688"/>
    <cellStyle name="常规 13 6 2" xfId="14689"/>
    <cellStyle name="常规 13 6 2 2" xfId="14690"/>
    <cellStyle name="常规 13 6 2 2 2" xfId="14691"/>
    <cellStyle name="常规 13 6 2 2 3" xfId="14692"/>
    <cellStyle name="常规 13 6 2 2 4" xfId="14693"/>
    <cellStyle name="常规 13 6 2 2 5" xfId="14694"/>
    <cellStyle name="常规 13 6 2 2 6" xfId="14695"/>
    <cellStyle name="常规 13 6 2 3" xfId="14696"/>
    <cellStyle name="常规 13 6 2 4" xfId="14697"/>
    <cellStyle name="常规 13 6 2 5" xfId="14698"/>
    <cellStyle name="常规 13 6 2 6" xfId="14699"/>
    <cellStyle name="常规 13 6 2 7" xfId="14700"/>
    <cellStyle name="常规 13 6 2 8" xfId="14701"/>
    <cellStyle name="常规 13 6 2 9" xfId="14702"/>
    <cellStyle name="常规 13 6 3" xfId="14703"/>
    <cellStyle name="常规 13 6 3 2" xfId="14704"/>
    <cellStyle name="常规 13 6 3 2 2" xfId="14705"/>
    <cellStyle name="常规 13 6 3 2 3" xfId="14706"/>
    <cellStyle name="常规 13 6 3 2 4" xfId="14707"/>
    <cellStyle name="常规 13 6 3 2 5" xfId="14708"/>
    <cellStyle name="常规 13 6 3 2 6" xfId="14709"/>
    <cellStyle name="常规 13 6 3 3" xfId="14710"/>
    <cellStyle name="常规 13 6 3 4" xfId="14711"/>
    <cellStyle name="常规 13 6 3 5" xfId="14712"/>
    <cellStyle name="常规 13 6 3 6" xfId="14713"/>
    <cellStyle name="常规 13 6 3 7" xfId="14714"/>
    <cellStyle name="常规 13 6 3 8" xfId="14715"/>
    <cellStyle name="常规 13 6 4" xfId="14716"/>
    <cellStyle name="常规 13 6 4 2" xfId="14717"/>
    <cellStyle name="常规 13 6 4 2 2" xfId="14718"/>
    <cellStyle name="常规 13 6 4 2 3" xfId="14719"/>
    <cellStyle name="常规 13 6 4 2 4" xfId="14720"/>
    <cellStyle name="常规 13 6 4 2 5" xfId="14721"/>
    <cellStyle name="常规 13 6 4 2 6" xfId="14722"/>
    <cellStyle name="常规 13 6 4 3" xfId="14723"/>
    <cellStyle name="常规 13 6 4 4" xfId="14724"/>
    <cellStyle name="常规 13 6 4 5" xfId="14725"/>
    <cellStyle name="常规 13 6 4 6" xfId="14726"/>
    <cellStyle name="常规 13 6 4 7" xfId="14727"/>
    <cellStyle name="常规 13 6 4 8" xfId="14728"/>
    <cellStyle name="常规 13 6 5" xfId="14729"/>
    <cellStyle name="常规 13 6 5 2" xfId="14730"/>
    <cellStyle name="常规 13 6 5 2 2" xfId="14731"/>
    <cellStyle name="常规 13 6 5 2 3" xfId="14732"/>
    <cellStyle name="常规 13 6 5 2 4" xfId="14733"/>
    <cellStyle name="常规 13 6 5 2 5" xfId="14734"/>
    <cellStyle name="常规 13 6 5 2 6" xfId="14735"/>
    <cellStyle name="常规 13 6 5 3" xfId="14736"/>
    <cellStyle name="常规 13 6 5 4" xfId="14737"/>
    <cellStyle name="常规 13 6 5 5" xfId="14738"/>
    <cellStyle name="常规 13 6 5 6" xfId="14739"/>
    <cellStyle name="常规 13 6 5 7" xfId="14740"/>
    <cellStyle name="常规 13 6 6" xfId="14741"/>
    <cellStyle name="常规 13 6 6 2" xfId="14742"/>
    <cellStyle name="常规 13 6 6 2 2" xfId="14743"/>
    <cellStyle name="常规 13 6 6 2 3" xfId="14744"/>
    <cellStyle name="常规 13 6 6 2 4" xfId="14745"/>
    <cellStyle name="常规 13 6 6 2 5" xfId="14746"/>
    <cellStyle name="常规 13 6 6 2 6" xfId="14747"/>
    <cellStyle name="常规 13 6 6 3" xfId="14748"/>
    <cellStyle name="常规 13 6 6 4" xfId="14749"/>
    <cellStyle name="常规 13 6 6 5" xfId="14750"/>
    <cellStyle name="常规 13 6 6 6" xfId="14751"/>
    <cellStyle name="常规 13 6 6 7" xfId="14752"/>
    <cellStyle name="常规 13 6 7" xfId="14753"/>
    <cellStyle name="常规 13 6 7 2" xfId="14754"/>
    <cellStyle name="常规 13 6 7 2 2" xfId="14755"/>
    <cellStyle name="常规 13 6 7 2 3" xfId="14756"/>
    <cellStyle name="常规 13 6 7 2 4" xfId="14757"/>
    <cellStyle name="常规 13 6 7 2 5" xfId="14758"/>
    <cellStyle name="常规 13 6 7 2 6" xfId="14759"/>
    <cellStyle name="常规 13 6 7 3" xfId="14760"/>
    <cellStyle name="常规 13 6 7 4" xfId="14761"/>
    <cellStyle name="常规 13 6 7 5" xfId="14762"/>
    <cellStyle name="常规 13 6 7 6" xfId="14763"/>
    <cellStyle name="常规 13 6 7 7" xfId="14764"/>
    <cellStyle name="常规 13 6 8" xfId="14765"/>
    <cellStyle name="常规 13 6 8 2" xfId="14766"/>
    <cellStyle name="常规 13 6 8 3" xfId="14767"/>
    <cellStyle name="常规 13 6 8 4" xfId="14768"/>
    <cellStyle name="常规 13 6 8 5" xfId="14769"/>
    <cellStyle name="常规 13 6 8 6" xfId="14770"/>
    <cellStyle name="常规 13 6 9" xfId="14771"/>
    <cellStyle name="常规 13 7" xfId="14772"/>
    <cellStyle name="常规 13 7 10" xfId="14773"/>
    <cellStyle name="常规 13 7 11" xfId="14774"/>
    <cellStyle name="常规 13 7 12" xfId="14775"/>
    <cellStyle name="常规 13 7 13" xfId="14776"/>
    <cellStyle name="常规 13 7 14" xfId="14777"/>
    <cellStyle name="常规 13 7 2" xfId="14778"/>
    <cellStyle name="常规 13 7 2 2" xfId="14779"/>
    <cellStyle name="常规 13 7 2 2 2" xfId="14780"/>
    <cellStyle name="常规 13 7 2 2 3" xfId="14781"/>
    <cellStyle name="常规 13 7 2 2 4" xfId="14782"/>
    <cellStyle name="常规 13 7 2 2 5" xfId="14783"/>
    <cellStyle name="常规 13 7 2 2 6" xfId="14784"/>
    <cellStyle name="常规 13 7 2 3" xfId="14785"/>
    <cellStyle name="常规 13 7 2 4" xfId="14786"/>
    <cellStyle name="常规 13 7 2 5" xfId="14787"/>
    <cellStyle name="常规 13 7 2 6" xfId="14788"/>
    <cellStyle name="常规 13 7 2 7" xfId="14789"/>
    <cellStyle name="常规 13 7 3" xfId="14790"/>
    <cellStyle name="常规 13 7 3 2" xfId="14791"/>
    <cellStyle name="常规 13 7 3 2 2" xfId="14792"/>
    <cellStyle name="常规 13 7 3 2 3" xfId="14793"/>
    <cellStyle name="常规 13 7 3 2 4" xfId="14794"/>
    <cellStyle name="常规 13 7 3 2 5" xfId="14795"/>
    <cellStyle name="常规 13 7 3 2 6" xfId="14796"/>
    <cellStyle name="常规 13 7 3 3" xfId="14797"/>
    <cellStyle name="常规 13 7 3 4" xfId="14798"/>
    <cellStyle name="常规 13 7 3 5" xfId="14799"/>
    <cellStyle name="常规 13 7 3 6" xfId="14800"/>
    <cellStyle name="常规 13 7 3 7" xfId="14801"/>
    <cellStyle name="常规 13 7 4" xfId="14802"/>
    <cellStyle name="常规 13 7 4 2" xfId="14803"/>
    <cellStyle name="常规 13 7 4 2 2" xfId="14804"/>
    <cellStyle name="常规 13 7 4 2 3" xfId="14805"/>
    <cellStyle name="常规 13 7 4 2 4" xfId="14806"/>
    <cellStyle name="常规 13 7 4 2 5" xfId="14807"/>
    <cellStyle name="常规 13 7 4 2 6" xfId="14808"/>
    <cellStyle name="常规 13 7 4 3" xfId="14809"/>
    <cellStyle name="常规 13 7 4 4" xfId="14810"/>
    <cellStyle name="常规 13 7 4 5" xfId="14811"/>
    <cellStyle name="常规 13 7 4 6" xfId="14812"/>
    <cellStyle name="常规 13 7 4 7" xfId="14813"/>
    <cellStyle name="常规 13 7 5" xfId="14814"/>
    <cellStyle name="常规 13 7 5 2" xfId="14815"/>
    <cellStyle name="常规 13 7 5 2 2" xfId="14816"/>
    <cellStyle name="常规 13 7 5 2 3" xfId="14817"/>
    <cellStyle name="常规 13 7 5 2 4" xfId="14818"/>
    <cellStyle name="常规 13 7 5 2 5" xfId="14819"/>
    <cellStyle name="常规 13 7 5 2 6" xfId="14820"/>
    <cellStyle name="常规 13 7 5 3" xfId="14821"/>
    <cellStyle name="常规 13 7 5 4" xfId="14822"/>
    <cellStyle name="常规 13 7 5 5" xfId="14823"/>
    <cellStyle name="常规 13 7 5 6" xfId="14824"/>
    <cellStyle name="常规 13 7 5 7" xfId="14825"/>
    <cellStyle name="常规 13 7 6" xfId="14826"/>
    <cellStyle name="常规 13 7 6 2" xfId="14827"/>
    <cellStyle name="常规 13 7 6 2 2" xfId="14828"/>
    <cellStyle name="常规 13 7 6 2 3" xfId="14829"/>
    <cellStyle name="常规 13 7 6 2 4" xfId="14830"/>
    <cellStyle name="常规 13 7 6 2 5" xfId="14831"/>
    <cellStyle name="常规 13 7 6 2 6" xfId="14832"/>
    <cellStyle name="常规 13 7 6 3" xfId="14833"/>
    <cellStyle name="常规 13 7 6 4" xfId="14834"/>
    <cellStyle name="常规 13 7 6 5" xfId="14835"/>
    <cellStyle name="常规 13 7 6 6" xfId="14836"/>
    <cellStyle name="常规 13 7 6 7" xfId="14837"/>
    <cellStyle name="常规 13 7 7" xfId="14838"/>
    <cellStyle name="常规 13 7 7 2" xfId="14839"/>
    <cellStyle name="常规 13 7 7 3" xfId="14840"/>
    <cellStyle name="常规 13 7 7 4" xfId="14841"/>
    <cellStyle name="常规 13 7 7 5" xfId="14842"/>
    <cellStyle name="常规 13 7 7 6" xfId="14843"/>
    <cellStyle name="常规 13 7 8" xfId="14844"/>
    <cellStyle name="常规 13 7 9" xfId="14845"/>
    <cellStyle name="常规 13 8" xfId="14846"/>
    <cellStyle name="常规 13 8 10" xfId="14847"/>
    <cellStyle name="常规 13 8 11" xfId="14848"/>
    <cellStyle name="常规 13 8 12" xfId="14849"/>
    <cellStyle name="常规 13 8 2" xfId="14850"/>
    <cellStyle name="常规 13 8 2 2" xfId="14851"/>
    <cellStyle name="常规 13 8 2 2 2" xfId="14852"/>
    <cellStyle name="常规 13 8 2 2 3" xfId="14853"/>
    <cellStyle name="常规 13 8 2 2 4" xfId="14854"/>
    <cellStyle name="常规 13 8 2 2 5" xfId="14855"/>
    <cellStyle name="常规 13 8 2 2 6" xfId="14856"/>
    <cellStyle name="常规 13 8 2 3" xfId="14857"/>
    <cellStyle name="常规 13 8 2 4" xfId="14858"/>
    <cellStyle name="常规 13 8 2 5" xfId="14859"/>
    <cellStyle name="常规 13 8 2 6" xfId="14860"/>
    <cellStyle name="常规 13 8 2 7" xfId="14861"/>
    <cellStyle name="常规 13 8 3" xfId="14862"/>
    <cellStyle name="常规 13 8 3 2" xfId="14863"/>
    <cellStyle name="常规 13 8 3 2 2" xfId="14864"/>
    <cellStyle name="常规 13 8 3 2 3" xfId="14865"/>
    <cellStyle name="常规 13 8 3 2 4" xfId="14866"/>
    <cellStyle name="常规 13 8 3 2 5" xfId="14867"/>
    <cellStyle name="常规 13 8 3 2 6" xfId="14868"/>
    <cellStyle name="常规 13 8 3 3" xfId="14869"/>
    <cellStyle name="常规 13 8 3 4" xfId="14870"/>
    <cellStyle name="常规 13 8 3 5" xfId="14871"/>
    <cellStyle name="常规 13 8 3 6" xfId="14872"/>
    <cellStyle name="常规 13 8 3 7" xfId="14873"/>
    <cellStyle name="常规 13 8 4" xfId="14874"/>
    <cellStyle name="常规 13 8 4 2" xfId="14875"/>
    <cellStyle name="常规 13 8 4 2 2" xfId="14876"/>
    <cellStyle name="常规 13 8 4 2 3" xfId="14877"/>
    <cellStyle name="常规 13 8 4 2 4" xfId="14878"/>
    <cellStyle name="常规 13 8 4 2 5" xfId="14879"/>
    <cellStyle name="常规 13 8 4 2 6" xfId="14880"/>
    <cellStyle name="常规 13 8 4 3" xfId="14881"/>
    <cellStyle name="常规 13 8 4 4" xfId="14882"/>
    <cellStyle name="常规 13 8 4 5" xfId="14883"/>
    <cellStyle name="常规 13 8 4 6" xfId="14884"/>
    <cellStyle name="常规 13 8 4 7" xfId="14885"/>
    <cellStyle name="常规 13 8 5" xfId="14886"/>
    <cellStyle name="常规 13 8 5 2" xfId="14887"/>
    <cellStyle name="常规 13 8 5 2 2" xfId="14888"/>
    <cellStyle name="常规 13 8 5 2 3" xfId="14889"/>
    <cellStyle name="常规 13 8 5 2 4" xfId="14890"/>
    <cellStyle name="常规 13 8 5 2 5" xfId="14891"/>
    <cellStyle name="常规 13 8 5 2 6" xfId="14892"/>
    <cellStyle name="常规 13 8 5 3" xfId="14893"/>
    <cellStyle name="常规 13 8 5 4" xfId="14894"/>
    <cellStyle name="常规 13 8 5 5" xfId="14895"/>
    <cellStyle name="常规 13 8 5 6" xfId="14896"/>
    <cellStyle name="常规 13 8 5 7" xfId="14897"/>
    <cellStyle name="常规 13 8 6" xfId="14898"/>
    <cellStyle name="常规 13 8 6 2" xfId="14899"/>
    <cellStyle name="常规 13 8 6 3" xfId="14900"/>
    <cellStyle name="常规 13 8 6 4" xfId="14901"/>
    <cellStyle name="常规 13 8 6 5" xfId="14902"/>
    <cellStyle name="常规 13 8 6 6" xfId="14903"/>
    <cellStyle name="常规 13 8 7" xfId="14904"/>
    <cellStyle name="常规 13 8 8" xfId="14905"/>
    <cellStyle name="常规 13 8 9" xfId="14906"/>
    <cellStyle name="常规 13 9" xfId="14907"/>
    <cellStyle name="常规 13 9 10" xfId="14908"/>
    <cellStyle name="常规 13 9 11" xfId="14909"/>
    <cellStyle name="常规 13 9 2" xfId="14910"/>
    <cellStyle name="常规 13 9 2 2" xfId="14911"/>
    <cellStyle name="常规 13 9 2 2 2" xfId="14912"/>
    <cellStyle name="常规 13 9 2 2 3" xfId="14913"/>
    <cellStyle name="常规 13 9 2 2 4" xfId="14914"/>
    <cellStyle name="常规 13 9 2 2 5" xfId="14915"/>
    <cellStyle name="常规 13 9 2 2 6" xfId="14916"/>
    <cellStyle name="常规 13 9 2 3" xfId="14917"/>
    <cellStyle name="常规 13 9 2 4" xfId="14918"/>
    <cellStyle name="常规 13 9 2 5" xfId="14919"/>
    <cellStyle name="常规 13 9 2 6" xfId="14920"/>
    <cellStyle name="常规 13 9 2 7" xfId="14921"/>
    <cellStyle name="常规 13 9 3" xfId="14922"/>
    <cellStyle name="常规 13 9 3 2" xfId="14923"/>
    <cellStyle name="常规 13 9 3 2 2" xfId="14924"/>
    <cellStyle name="常规 13 9 3 2 3" xfId="14925"/>
    <cellStyle name="常规 13 9 3 2 4" xfId="14926"/>
    <cellStyle name="常规 13 9 3 2 5" xfId="14927"/>
    <cellStyle name="常规 13 9 3 2 6" xfId="14928"/>
    <cellStyle name="常规 13 9 3 3" xfId="14929"/>
    <cellStyle name="常规 13 9 3 4" xfId="14930"/>
    <cellStyle name="常规 13 9 3 5" xfId="14931"/>
    <cellStyle name="常规 13 9 3 6" xfId="14932"/>
    <cellStyle name="常规 13 9 3 7" xfId="14933"/>
    <cellStyle name="常规 13 9 4" xfId="14934"/>
    <cellStyle name="常规 13 9 4 2" xfId="14935"/>
    <cellStyle name="常规 13 9 4 2 2" xfId="14936"/>
    <cellStyle name="常规 13 9 4 2 3" xfId="14937"/>
    <cellStyle name="常规 13 9 4 2 4" xfId="14938"/>
    <cellStyle name="常规 13 9 4 2 5" xfId="14939"/>
    <cellStyle name="常规 13 9 4 2 6" xfId="14940"/>
    <cellStyle name="常规 13 9 4 3" xfId="14941"/>
    <cellStyle name="常规 13 9 4 4" xfId="14942"/>
    <cellStyle name="常规 13 9 4 5" xfId="14943"/>
    <cellStyle name="常规 13 9 4 6" xfId="14944"/>
    <cellStyle name="常规 13 9 4 7" xfId="14945"/>
    <cellStyle name="常规 13 9 5" xfId="14946"/>
    <cellStyle name="常规 13 9 5 2" xfId="14947"/>
    <cellStyle name="常规 13 9 5 3" xfId="14948"/>
    <cellStyle name="常规 13 9 5 4" xfId="14949"/>
    <cellStyle name="常规 13 9 5 5" xfId="14950"/>
    <cellStyle name="常规 13 9 5 6" xfId="14951"/>
    <cellStyle name="常规 13 9 6" xfId="14952"/>
    <cellStyle name="常规 13 9 7" xfId="14953"/>
    <cellStyle name="常规 13 9 8" xfId="14954"/>
    <cellStyle name="常规 13 9 9" xfId="14955"/>
    <cellStyle name="常规 14" xfId="14956"/>
    <cellStyle name="常规 14 10" xfId="14957"/>
    <cellStyle name="常规 14 10 2" xfId="14958"/>
    <cellStyle name="常规 14 10 3" xfId="14959"/>
    <cellStyle name="常规 14 10 4" xfId="14960"/>
    <cellStyle name="常规 14 10 5" xfId="14961"/>
    <cellStyle name="常规 14 10 6" xfId="14962"/>
    <cellStyle name="常规 14 10 7" xfId="14963"/>
    <cellStyle name="常规 14 11" xfId="14964"/>
    <cellStyle name="常规 14 11 2" xfId="14965"/>
    <cellStyle name="常规 14 12" xfId="14966"/>
    <cellStyle name="常规 14 13" xfId="14967"/>
    <cellStyle name="常规 14 14" xfId="14968"/>
    <cellStyle name="常规 14 15" xfId="14969"/>
    <cellStyle name="常规 14 16" xfId="14970"/>
    <cellStyle name="常规 14 2" xfId="14971"/>
    <cellStyle name="常规 14 2 10" xfId="14972"/>
    <cellStyle name="常规 14 2 10 2" xfId="14973"/>
    <cellStyle name="常规 14 2 11" xfId="14974"/>
    <cellStyle name="常规 14 2 12" xfId="14975"/>
    <cellStyle name="常规 14 2 13" xfId="14976"/>
    <cellStyle name="常规 14 2 14" xfId="14977"/>
    <cellStyle name="常规 14 2 2" xfId="14978"/>
    <cellStyle name="常规 14 2 2 10" xfId="14979"/>
    <cellStyle name="常规 14 2 2 2" xfId="14980"/>
    <cellStyle name="常规 14 2 2 2 2" xfId="14981"/>
    <cellStyle name="常规 14 2 2 2 2 2" xfId="14982"/>
    <cellStyle name="常规 14 2 2 2 2 2 2" xfId="14983"/>
    <cellStyle name="常规 14 2 2 2 2 2 3" xfId="14984"/>
    <cellStyle name="常规 14 2 2 2 2 3" xfId="14985"/>
    <cellStyle name="常规 14 2 2 2 2 3 2" xfId="14986"/>
    <cellStyle name="常规 14 2 2 2 2 4" xfId="14987"/>
    <cellStyle name="常规 14 2 2 2 2 4 2" xfId="14988"/>
    <cellStyle name="常规 14 2 2 2 2 5" xfId="14989"/>
    <cellStyle name="常规 14 2 2 2 2 6" xfId="14990"/>
    <cellStyle name="常规 14 2 2 2 2 7" xfId="14991"/>
    <cellStyle name="常规 14 2 2 2 3" xfId="14992"/>
    <cellStyle name="常规 14 2 2 2 3 2" xfId="14993"/>
    <cellStyle name="常规 14 2 2 2 3 3" xfId="14994"/>
    <cellStyle name="常规 14 2 2 2 4" xfId="14995"/>
    <cellStyle name="常规 14 2 2 2 4 2" xfId="14996"/>
    <cellStyle name="常规 14 2 2 2 5" xfId="14997"/>
    <cellStyle name="常规 14 2 2 2 5 2" xfId="14998"/>
    <cellStyle name="常规 14 2 2 2 6" xfId="14999"/>
    <cellStyle name="常规 14 2 2 2 7" xfId="15000"/>
    <cellStyle name="常规 14 2 2 2 8" xfId="15001"/>
    <cellStyle name="常规 14 2 2 3" xfId="15002"/>
    <cellStyle name="常规 14 2 2 3 2" xfId="15003"/>
    <cellStyle name="常规 14 2 2 3 2 2" xfId="15004"/>
    <cellStyle name="常规 14 2 2 3 2 3" xfId="15005"/>
    <cellStyle name="常规 14 2 2 3 2 4" xfId="15006"/>
    <cellStyle name="常规 14 2 2 3 2 5" xfId="15007"/>
    <cellStyle name="常规 14 2 2 3 2 6" xfId="15008"/>
    <cellStyle name="常规 14 2 2 3 2 7" xfId="15009"/>
    <cellStyle name="常规 14 2 2 3 2 8" xfId="15010"/>
    <cellStyle name="常规 14 2 2 3 3" xfId="15011"/>
    <cellStyle name="常规 14 2 2 3 3 2" xfId="15012"/>
    <cellStyle name="常规 14 2 2 3 4" xfId="15013"/>
    <cellStyle name="常规 14 2 2 3 4 2" xfId="15014"/>
    <cellStyle name="常规 14 2 2 3 5" xfId="15015"/>
    <cellStyle name="常规 14 2 2 3 6" xfId="15016"/>
    <cellStyle name="常规 14 2 2 3 7" xfId="15017"/>
    <cellStyle name="常规 14 2 2 3 8" xfId="15018"/>
    <cellStyle name="常规 14 2 2 4" xfId="15019"/>
    <cellStyle name="常规 14 2 2 4 2" xfId="15020"/>
    <cellStyle name="常规 14 2 2 4 3" xfId="15021"/>
    <cellStyle name="常规 14 2 2 4 4" xfId="15022"/>
    <cellStyle name="常规 14 2 2 4 5" xfId="15023"/>
    <cellStyle name="常规 14 2 2 4 6" xfId="15024"/>
    <cellStyle name="常规 14 2 2 4 7" xfId="15025"/>
    <cellStyle name="常规 14 2 2 4 8" xfId="15026"/>
    <cellStyle name="常规 14 2 2 5" xfId="15027"/>
    <cellStyle name="常规 14 2 2 5 2" xfId="15028"/>
    <cellStyle name="常规 14 2 2 6" xfId="15029"/>
    <cellStyle name="常规 14 2 2 6 2" xfId="15030"/>
    <cellStyle name="常规 14 2 2 7" xfId="15031"/>
    <cellStyle name="常规 14 2 2 7 2" xfId="15032"/>
    <cellStyle name="常规 14 2 2 8" xfId="15033"/>
    <cellStyle name="常规 14 2 2 9" xfId="15034"/>
    <cellStyle name="常规 14 2 3" xfId="15035"/>
    <cellStyle name="常规 14 2 3 2" xfId="15036"/>
    <cellStyle name="常规 14 2 3 2 2" xfId="15037"/>
    <cellStyle name="常规 14 2 3 2 2 2" xfId="15038"/>
    <cellStyle name="常规 14 2 3 2 2 2 2" xfId="15039"/>
    <cellStyle name="常规 14 2 3 2 2 2 3" xfId="15040"/>
    <cellStyle name="常规 14 2 3 2 2 3" xfId="15041"/>
    <cellStyle name="常规 14 2 3 2 2 3 2" xfId="15042"/>
    <cellStyle name="常规 14 2 3 2 2 4" xfId="15043"/>
    <cellStyle name="常规 14 2 3 2 2 4 2" xfId="15044"/>
    <cellStyle name="常规 14 2 3 2 2 5" xfId="15045"/>
    <cellStyle name="常规 14 2 3 2 2 6" xfId="15046"/>
    <cellStyle name="常规 14 2 3 2 2 7" xfId="15047"/>
    <cellStyle name="常规 14 2 3 2 3" xfId="15048"/>
    <cellStyle name="常规 14 2 3 2 3 2" xfId="15049"/>
    <cellStyle name="常规 14 2 3 2 3 3" xfId="15050"/>
    <cellStyle name="常规 14 2 3 2 4" xfId="15051"/>
    <cellStyle name="常规 14 2 3 2 4 2" xfId="15052"/>
    <cellStyle name="常规 14 2 3 2 5" xfId="15053"/>
    <cellStyle name="常规 14 2 3 2 5 2" xfId="15054"/>
    <cellStyle name="常规 14 2 3 2 6" xfId="15055"/>
    <cellStyle name="常规 14 2 3 2 7" xfId="15056"/>
    <cellStyle name="常规 14 2 3 2 8" xfId="15057"/>
    <cellStyle name="常规 14 2 3 3" xfId="15058"/>
    <cellStyle name="常规 14 2 3 3 2" xfId="15059"/>
    <cellStyle name="常规 14 2 3 3 2 2" xfId="15060"/>
    <cellStyle name="常规 14 2 3 3 2 3" xfId="15061"/>
    <cellStyle name="常规 14 2 3 3 3" xfId="15062"/>
    <cellStyle name="常规 14 2 3 3 3 2" xfId="15063"/>
    <cellStyle name="常规 14 2 3 3 4" xfId="15064"/>
    <cellStyle name="常规 14 2 3 3 4 2" xfId="15065"/>
    <cellStyle name="常规 14 2 3 3 5" xfId="15066"/>
    <cellStyle name="常规 14 2 3 3 6" xfId="15067"/>
    <cellStyle name="常规 14 2 3 3 7" xfId="15068"/>
    <cellStyle name="常规 14 2 3 4" xfId="15069"/>
    <cellStyle name="常规 14 2 3 4 2" xfId="15070"/>
    <cellStyle name="常规 14 2 3 4 3" xfId="15071"/>
    <cellStyle name="常规 14 2 3 5" xfId="15072"/>
    <cellStyle name="常规 14 2 3 5 2" xfId="15073"/>
    <cellStyle name="常规 14 2 3 6" xfId="15074"/>
    <cellStyle name="常规 14 2 3 6 2" xfId="15075"/>
    <cellStyle name="常规 14 2 3 7" xfId="15076"/>
    <cellStyle name="常规 14 2 3 7 2" xfId="15077"/>
    <cellStyle name="常规 14 2 3 8" xfId="15078"/>
    <cellStyle name="常规 14 2 3 9" xfId="15079"/>
    <cellStyle name="常规 14 2 4" xfId="15080"/>
    <cellStyle name="常规 14 2 4 2" xfId="15081"/>
    <cellStyle name="常规 14 2 4 2 2" xfId="15082"/>
    <cellStyle name="常规 14 2 4 2 2 2" xfId="15083"/>
    <cellStyle name="常规 14 2 4 2 2 3" xfId="15084"/>
    <cellStyle name="常规 14 2 4 2 3" xfId="15085"/>
    <cellStyle name="常规 14 2 4 2 3 2" xfId="15086"/>
    <cellStyle name="常规 14 2 4 2 4" xfId="15087"/>
    <cellStyle name="常规 14 2 4 2 4 2" xfId="15088"/>
    <cellStyle name="常规 14 2 4 2 5" xfId="15089"/>
    <cellStyle name="常规 14 2 4 2 6" xfId="15090"/>
    <cellStyle name="常规 14 2 4 2 7" xfId="15091"/>
    <cellStyle name="常规 14 2 4 3" xfId="15092"/>
    <cellStyle name="常规 14 2 4 3 2" xfId="15093"/>
    <cellStyle name="常规 14 2 4 3 2 2" xfId="15094"/>
    <cellStyle name="常规 14 2 4 3 3" xfId="15095"/>
    <cellStyle name="常规 14 2 4 3 4" xfId="15096"/>
    <cellStyle name="常规 14 2 4 3 5" xfId="15097"/>
    <cellStyle name="常规 14 2 4 4" xfId="15098"/>
    <cellStyle name="常规 14 2 4 4 2" xfId="15099"/>
    <cellStyle name="常规 14 2 4 4 3" xfId="15100"/>
    <cellStyle name="常规 14 2 4 5" xfId="15101"/>
    <cellStyle name="常规 14 2 4 5 2" xfId="15102"/>
    <cellStyle name="常规 14 2 4 6" xfId="15103"/>
    <cellStyle name="常规 14 2 4 6 2" xfId="15104"/>
    <cellStyle name="常规 14 2 4 7" xfId="15105"/>
    <cellStyle name="常规 14 2 4 7 2" xfId="15106"/>
    <cellStyle name="常规 14 2 4 8" xfId="15107"/>
    <cellStyle name="常规 14 2 5" xfId="15108"/>
    <cellStyle name="常规 14 2 5 2" xfId="15109"/>
    <cellStyle name="常规 14 2 5 2 2" xfId="15110"/>
    <cellStyle name="常规 14 2 5 2 3" xfId="15111"/>
    <cellStyle name="常规 14 2 5 2 4" xfId="15112"/>
    <cellStyle name="常规 14 2 5 2 5" xfId="15113"/>
    <cellStyle name="常规 14 2 5 2 6" xfId="15114"/>
    <cellStyle name="常规 14 2 5 2 7" xfId="15115"/>
    <cellStyle name="常规 14 2 5 2 8" xfId="15116"/>
    <cellStyle name="常规 14 2 5 3" xfId="15117"/>
    <cellStyle name="常规 14 2 5 3 2" xfId="15118"/>
    <cellStyle name="常规 14 2 5 4" xfId="15119"/>
    <cellStyle name="常规 14 2 5 4 2" xfId="15120"/>
    <cellStyle name="常规 14 2 5 5" xfId="15121"/>
    <cellStyle name="常规 14 2 5 6" xfId="15122"/>
    <cellStyle name="常规 14 2 5 7" xfId="15123"/>
    <cellStyle name="常规 14 2 5 8" xfId="15124"/>
    <cellStyle name="常规 14 2 6" xfId="15125"/>
    <cellStyle name="常规 14 2 6 2" xfId="15126"/>
    <cellStyle name="常规 14 2 6 2 2" xfId="15127"/>
    <cellStyle name="常规 14 2 6 2 3" xfId="15128"/>
    <cellStyle name="常规 14 2 6 2 4" xfId="15129"/>
    <cellStyle name="常规 14 2 6 2 5" xfId="15130"/>
    <cellStyle name="常规 14 2 6 2 6" xfId="15131"/>
    <cellStyle name="常规 14 2 6 2 7" xfId="15132"/>
    <cellStyle name="常规 14 2 6 2 8" xfId="15133"/>
    <cellStyle name="常规 14 2 6 3" xfId="15134"/>
    <cellStyle name="常规 14 2 6 3 2" xfId="15135"/>
    <cellStyle name="常规 14 2 6 4" xfId="15136"/>
    <cellStyle name="常规 14 2 6 4 2" xfId="15137"/>
    <cellStyle name="常规 14 2 6 5" xfId="15138"/>
    <cellStyle name="常规 14 2 6 6" xfId="15139"/>
    <cellStyle name="常规 14 2 6 7" xfId="15140"/>
    <cellStyle name="常规 14 2 6 8" xfId="15141"/>
    <cellStyle name="常规 14 2 7" xfId="15142"/>
    <cellStyle name="常规 14 2 7 2" xfId="15143"/>
    <cellStyle name="常规 14 2 7 2 2" xfId="15144"/>
    <cellStyle name="常规 14 2 7 2 3" xfId="15145"/>
    <cellStyle name="常规 14 2 7 2 4" xfId="15146"/>
    <cellStyle name="常规 14 2 7 2 5" xfId="15147"/>
    <cellStyle name="常规 14 2 7 2 6" xfId="15148"/>
    <cellStyle name="常规 14 2 7 3" xfId="15149"/>
    <cellStyle name="常规 14 2 7 4" xfId="15150"/>
    <cellStyle name="常规 14 2 7 5" xfId="15151"/>
    <cellStyle name="常规 14 2 7 6" xfId="15152"/>
    <cellStyle name="常规 14 2 7 7" xfId="15153"/>
    <cellStyle name="常规 14 2 7 8" xfId="15154"/>
    <cellStyle name="常规 14 2 7 9" xfId="15155"/>
    <cellStyle name="常规 14 2 8" xfId="15156"/>
    <cellStyle name="常规 14 2 8 2" xfId="15157"/>
    <cellStyle name="常规 14 2 8 3" xfId="15158"/>
    <cellStyle name="常规 14 2 8 4" xfId="15159"/>
    <cellStyle name="常规 14 2 8 5" xfId="15160"/>
    <cellStyle name="常规 14 2 8 6" xfId="15161"/>
    <cellStyle name="常规 14 2 8 7" xfId="15162"/>
    <cellStyle name="常规 14 2 9" xfId="15163"/>
    <cellStyle name="常规 14 2 9 2" xfId="15164"/>
    <cellStyle name="常规 14 3" xfId="15165"/>
    <cellStyle name="常规 14 3 10" xfId="15166"/>
    <cellStyle name="常规 14 3 11" xfId="15167"/>
    <cellStyle name="常规 14 3 2" xfId="15168"/>
    <cellStyle name="常规 14 3 2 2" xfId="15169"/>
    <cellStyle name="常规 14 3 2 2 2" xfId="15170"/>
    <cellStyle name="常规 14 3 2 2 2 2" xfId="15171"/>
    <cellStyle name="常规 14 3 2 2 2 3" xfId="15172"/>
    <cellStyle name="常规 14 3 2 2 2 4" xfId="15173"/>
    <cellStyle name="常规 14 3 2 2 2 5" xfId="15174"/>
    <cellStyle name="常规 14 3 2 2 2 6" xfId="15175"/>
    <cellStyle name="常规 14 3 2 2 2 7" xfId="15176"/>
    <cellStyle name="常规 14 3 2 2 2 8" xfId="15177"/>
    <cellStyle name="常规 14 3 2 2 3" xfId="15178"/>
    <cellStyle name="常规 14 3 2 2 3 2" xfId="15179"/>
    <cellStyle name="常规 14 3 2 2 4" xfId="15180"/>
    <cellStyle name="常规 14 3 2 2 4 2" xfId="15181"/>
    <cellStyle name="常规 14 3 2 2 5" xfId="15182"/>
    <cellStyle name="常规 14 3 2 2 6" xfId="15183"/>
    <cellStyle name="常规 14 3 2 2 7" xfId="15184"/>
    <cellStyle name="常规 14 3 2 2 8" xfId="15185"/>
    <cellStyle name="常规 14 3 2 3" xfId="15186"/>
    <cellStyle name="常规 14 3 2 3 2" xfId="15187"/>
    <cellStyle name="常规 14 3 2 3 2 2" xfId="15188"/>
    <cellStyle name="常规 14 3 2 3 2 3" xfId="15189"/>
    <cellStyle name="常规 14 3 2 3 3" xfId="15190"/>
    <cellStyle name="常规 14 3 2 3 3 2" xfId="15191"/>
    <cellStyle name="常规 14 3 2 3 4" xfId="15192"/>
    <cellStyle name="常规 14 3 2 3 4 2" xfId="15193"/>
    <cellStyle name="常规 14 3 2 3 5" xfId="15194"/>
    <cellStyle name="常规 14 3 2 3 6" xfId="15195"/>
    <cellStyle name="常规 14 3 2 3 7" xfId="15196"/>
    <cellStyle name="常规 14 3 2 4" xfId="15197"/>
    <cellStyle name="常规 14 3 2 4 2" xfId="15198"/>
    <cellStyle name="常规 14 3 2 4 3" xfId="15199"/>
    <cellStyle name="常规 14 3 2 5" xfId="15200"/>
    <cellStyle name="常规 14 3 2 5 2" xfId="15201"/>
    <cellStyle name="常规 14 3 2 6" xfId="15202"/>
    <cellStyle name="常规 14 3 2 6 2" xfId="15203"/>
    <cellStyle name="常规 14 3 2 7" xfId="15204"/>
    <cellStyle name="常规 14 3 2 8" xfId="15205"/>
    <cellStyle name="常规 14 3 2 9" xfId="15206"/>
    <cellStyle name="常规 14 3 3" xfId="15207"/>
    <cellStyle name="常规 14 3 3 2" xfId="15208"/>
    <cellStyle name="常规 14 3 3 2 2" xfId="15209"/>
    <cellStyle name="常规 14 3 3 2 3" xfId="15210"/>
    <cellStyle name="常规 14 3 3 2 4" xfId="15211"/>
    <cellStyle name="常规 14 3 3 2 5" xfId="15212"/>
    <cellStyle name="常规 14 3 3 2 6" xfId="15213"/>
    <cellStyle name="常规 14 3 3 2 7" xfId="15214"/>
    <cellStyle name="常规 14 3 3 2 8" xfId="15215"/>
    <cellStyle name="常规 14 3 3 3" xfId="15216"/>
    <cellStyle name="常规 14 3 3 3 2" xfId="15217"/>
    <cellStyle name="常规 14 3 3 4" xfId="15218"/>
    <cellStyle name="常规 14 3 3 4 2" xfId="15219"/>
    <cellStyle name="常规 14 3 3 5" xfId="15220"/>
    <cellStyle name="常规 14 3 3 6" xfId="15221"/>
    <cellStyle name="常规 14 3 3 7" xfId="15222"/>
    <cellStyle name="常规 14 3 3 8" xfId="15223"/>
    <cellStyle name="常规 14 3 4" xfId="15224"/>
    <cellStyle name="常规 14 3 4 2" xfId="15225"/>
    <cellStyle name="常规 14 3 4 2 2" xfId="15226"/>
    <cellStyle name="常规 14 3 4 2 3" xfId="15227"/>
    <cellStyle name="常规 14 3 4 2 4" xfId="15228"/>
    <cellStyle name="常规 14 3 4 2 5" xfId="15229"/>
    <cellStyle name="常规 14 3 4 2 6" xfId="15230"/>
    <cellStyle name="常规 14 3 4 2 7" xfId="15231"/>
    <cellStyle name="常规 14 3 4 2 8" xfId="15232"/>
    <cellStyle name="常规 14 3 4 3" xfId="15233"/>
    <cellStyle name="常规 14 3 4 3 2" xfId="15234"/>
    <cellStyle name="常规 14 3 4 4" xfId="15235"/>
    <cellStyle name="常规 14 3 4 4 2" xfId="15236"/>
    <cellStyle name="常规 14 3 4 5" xfId="15237"/>
    <cellStyle name="常规 14 3 4 6" xfId="15238"/>
    <cellStyle name="常规 14 3 4 7" xfId="15239"/>
    <cellStyle name="常规 14 3 4 8" xfId="15240"/>
    <cellStyle name="常规 14 3 5" xfId="15241"/>
    <cellStyle name="常规 14 3 5 2" xfId="15242"/>
    <cellStyle name="常规 14 3 5 3" xfId="15243"/>
    <cellStyle name="常规 14 3 5 4" xfId="15244"/>
    <cellStyle name="常规 14 3 5 5" xfId="15245"/>
    <cellStyle name="常规 14 3 5 6" xfId="15246"/>
    <cellStyle name="常规 14 3 5 7" xfId="15247"/>
    <cellStyle name="常规 14 3 5 8" xfId="15248"/>
    <cellStyle name="常规 14 3 6" xfId="15249"/>
    <cellStyle name="常规 14 3 6 2" xfId="15250"/>
    <cellStyle name="常规 14 3 7" xfId="15251"/>
    <cellStyle name="常规 14 3 7 2" xfId="15252"/>
    <cellStyle name="常规 14 3 8" xfId="15253"/>
    <cellStyle name="常规 14 3 8 2" xfId="15254"/>
    <cellStyle name="常规 14 3 9" xfId="15255"/>
    <cellStyle name="常规 14 4" xfId="15256"/>
    <cellStyle name="常规 14 4 2" xfId="15257"/>
    <cellStyle name="常规 14 4 2 2" xfId="15258"/>
    <cellStyle name="常规 14 4 2 2 2" xfId="15259"/>
    <cellStyle name="常规 14 4 2 2 2 2" xfId="15260"/>
    <cellStyle name="常规 14 4 2 2 3" xfId="15261"/>
    <cellStyle name="常规 14 4 2 2 4" xfId="15262"/>
    <cellStyle name="常规 14 4 2 3" xfId="15263"/>
    <cellStyle name="常规 14 4 2 3 2" xfId="15264"/>
    <cellStyle name="常规 14 4 2 4" xfId="15265"/>
    <cellStyle name="常规 14 4 2 5" xfId="15266"/>
    <cellStyle name="常规 14 4 2 6" xfId="15267"/>
    <cellStyle name="常规 14 4 3" xfId="15268"/>
    <cellStyle name="常规 14 4 3 2" xfId="15269"/>
    <cellStyle name="常规 14 4 3 2 2" xfId="15270"/>
    <cellStyle name="常规 14 4 3 3" xfId="15271"/>
    <cellStyle name="常规 14 4 3 4" xfId="15272"/>
    <cellStyle name="常规 14 4 4" xfId="15273"/>
    <cellStyle name="常规 14 4 4 2" xfId="15274"/>
    <cellStyle name="常规 14 4 5" xfId="15275"/>
    <cellStyle name="常规 14 4 6" xfId="15276"/>
    <cellStyle name="常规 14 4 7" xfId="15277"/>
    <cellStyle name="常规 14 4 8" xfId="15278"/>
    <cellStyle name="常规 14 5" xfId="15279"/>
    <cellStyle name="常规 14 5 2" xfId="15280"/>
    <cellStyle name="常规 14 5 2 2" xfId="15281"/>
    <cellStyle name="常规 14 5 2 2 2" xfId="15282"/>
    <cellStyle name="常规 14 5 2 2 3" xfId="15283"/>
    <cellStyle name="常规 14 5 2 2 4" xfId="15284"/>
    <cellStyle name="常规 14 5 2 2 5" xfId="15285"/>
    <cellStyle name="常规 14 5 2 2 6" xfId="15286"/>
    <cellStyle name="常规 14 5 2 2 7" xfId="15287"/>
    <cellStyle name="常规 14 5 2 2 8" xfId="15288"/>
    <cellStyle name="常规 14 5 2 3" xfId="15289"/>
    <cellStyle name="常规 14 5 2 3 2" xfId="15290"/>
    <cellStyle name="常规 14 5 2 4" xfId="15291"/>
    <cellStyle name="常规 14 5 2 4 2" xfId="15292"/>
    <cellStyle name="常规 14 5 2 5" xfId="15293"/>
    <cellStyle name="常规 14 5 2 6" xfId="15294"/>
    <cellStyle name="常规 14 5 2 7" xfId="15295"/>
    <cellStyle name="常规 14 5 2 8" xfId="15296"/>
    <cellStyle name="常规 14 5 3" xfId="15297"/>
    <cellStyle name="常规 14 5 3 2" xfId="15298"/>
    <cellStyle name="常规 14 5 3 2 2" xfId="15299"/>
    <cellStyle name="常规 14 5 3 2 3" xfId="15300"/>
    <cellStyle name="常规 14 5 3 3" xfId="15301"/>
    <cellStyle name="常规 14 5 3 3 2" xfId="15302"/>
    <cellStyle name="常规 14 5 3 4" xfId="15303"/>
    <cellStyle name="常规 14 5 3 4 2" xfId="15304"/>
    <cellStyle name="常规 14 5 3 5" xfId="15305"/>
    <cellStyle name="常规 14 5 3 6" xfId="15306"/>
    <cellStyle name="常规 14 5 3 7" xfId="15307"/>
    <cellStyle name="常规 14 5 4" xfId="15308"/>
    <cellStyle name="常规 14 5 4 2" xfId="15309"/>
    <cellStyle name="常规 14 5 4 3" xfId="15310"/>
    <cellStyle name="常规 14 5 5" xfId="15311"/>
    <cellStyle name="常规 14 5 5 2" xfId="15312"/>
    <cellStyle name="常规 14 5 6" xfId="15313"/>
    <cellStyle name="常规 14 5 6 2" xfId="15314"/>
    <cellStyle name="常规 14 5 7" xfId="15315"/>
    <cellStyle name="常规 14 5 7 2" xfId="15316"/>
    <cellStyle name="常规 14 5 8" xfId="15317"/>
    <cellStyle name="常规 14 5 9" xfId="15318"/>
    <cellStyle name="常规 14 6" xfId="15319"/>
    <cellStyle name="常规 14 6 2" xfId="15320"/>
    <cellStyle name="常规 14 6 2 2" xfId="15321"/>
    <cellStyle name="常规 14 6 2 2 2" xfId="15322"/>
    <cellStyle name="常规 14 6 2 2 3" xfId="15323"/>
    <cellStyle name="常规 14 6 2 2 4" xfId="15324"/>
    <cellStyle name="常规 14 6 2 2 5" xfId="15325"/>
    <cellStyle name="常规 14 6 2 2 6" xfId="15326"/>
    <cellStyle name="常规 14 6 2 3" xfId="15327"/>
    <cellStyle name="常规 14 6 2 4" xfId="15328"/>
    <cellStyle name="常规 14 6 2 5" xfId="15329"/>
    <cellStyle name="常规 14 6 2 6" xfId="15330"/>
    <cellStyle name="常规 14 6 2 7" xfId="15331"/>
    <cellStyle name="常规 14 6 2 8" xfId="15332"/>
    <cellStyle name="常规 14 6 2 9" xfId="15333"/>
    <cellStyle name="常规 14 6 3" xfId="15334"/>
    <cellStyle name="常规 14 6 3 2" xfId="15335"/>
    <cellStyle name="常规 14 6 3 3" xfId="15336"/>
    <cellStyle name="常规 14 6 3 4" xfId="15337"/>
    <cellStyle name="常规 14 6 3 5" xfId="15338"/>
    <cellStyle name="常规 14 6 3 6" xfId="15339"/>
    <cellStyle name="常规 14 6 3 7" xfId="15340"/>
    <cellStyle name="常规 14 6 4" xfId="15341"/>
    <cellStyle name="常规 14 6 4 2" xfId="15342"/>
    <cellStyle name="常规 14 6 5" xfId="15343"/>
    <cellStyle name="常规 14 6 6" xfId="15344"/>
    <cellStyle name="常规 14 6 7" xfId="15345"/>
    <cellStyle name="常规 14 6 8" xfId="15346"/>
    <cellStyle name="常规 14 6 9" xfId="15347"/>
    <cellStyle name="常规 14 7" xfId="15348"/>
    <cellStyle name="常规 14 7 2" xfId="15349"/>
    <cellStyle name="常规 14 7 2 2" xfId="15350"/>
    <cellStyle name="常规 14 7 2 3" xfId="15351"/>
    <cellStyle name="常规 14 7 2 4" xfId="15352"/>
    <cellStyle name="常规 14 7 2 5" xfId="15353"/>
    <cellStyle name="常规 14 7 2 6" xfId="15354"/>
    <cellStyle name="常规 14 7 2 7" xfId="15355"/>
    <cellStyle name="常规 14 7 2 8" xfId="15356"/>
    <cellStyle name="常规 14 7 3" xfId="15357"/>
    <cellStyle name="常规 14 7 3 2" xfId="15358"/>
    <cellStyle name="常规 14 7 4" xfId="15359"/>
    <cellStyle name="常规 14 7 4 2" xfId="15360"/>
    <cellStyle name="常规 14 7 5" xfId="15361"/>
    <cellStyle name="常规 14 7 6" xfId="15362"/>
    <cellStyle name="常规 14 7 7" xfId="15363"/>
    <cellStyle name="常规 14 7 8" xfId="15364"/>
    <cellStyle name="常规 14 8" xfId="15365"/>
    <cellStyle name="常规 14 8 2" xfId="15366"/>
    <cellStyle name="常规 14 8 2 2" xfId="15367"/>
    <cellStyle name="常规 14 8 2 3" xfId="15368"/>
    <cellStyle name="常规 14 8 2 4" xfId="15369"/>
    <cellStyle name="常规 14 8 2 5" xfId="15370"/>
    <cellStyle name="常规 14 8 2 6" xfId="15371"/>
    <cellStyle name="常规 14 8 3" xfId="15372"/>
    <cellStyle name="常规 14 8 4" xfId="15373"/>
    <cellStyle name="常规 14 8 5" xfId="15374"/>
    <cellStyle name="常规 14 8 6" xfId="15375"/>
    <cellStyle name="常规 14 8 7" xfId="15376"/>
    <cellStyle name="常规 14 8 8" xfId="15377"/>
    <cellStyle name="常规 14 8 9" xfId="15378"/>
    <cellStyle name="常规 14 9" xfId="15379"/>
    <cellStyle name="常规 14 9 2" xfId="15380"/>
    <cellStyle name="常规 15" xfId="15381"/>
    <cellStyle name="常规 15 2" xfId="15382"/>
    <cellStyle name="常规 15 2 2" xfId="15383"/>
    <cellStyle name="常规 15 2 3" xfId="15384"/>
    <cellStyle name="常规 15 3" xfId="15385"/>
    <cellStyle name="常规 15 3 2" xfId="15386"/>
    <cellStyle name="常规 15 3 3" xfId="15387"/>
    <cellStyle name="常规 15 4" xfId="15388"/>
    <cellStyle name="常规 15 4 2" xfId="15389"/>
    <cellStyle name="常规 15 5" xfId="15390"/>
    <cellStyle name="常规 15 5 2" xfId="15391"/>
    <cellStyle name="常规 15 5 3" xfId="15392"/>
    <cellStyle name="常规 15 5 4" xfId="15393"/>
    <cellStyle name="常规 15 5 5" xfId="15394"/>
    <cellStyle name="常规 15 5 6" xfId="15395"/>
    <cellStyle name="常规 15 5 7" xfId="15396"/>
    <cellStyle name="常规 15 6" xfId="15397"/>
    <cellStyle name="常规 15 6 2" xfId="15398"/>
    <cellStyle name="常规 15 6 3" xfId="15399"/>
    <cellStyle name="常规 15 6 4" xfId="15400"/>
    <cellStyle name="常规 15 6 5" xfId="15401"/>
    <cellStyle name="常规 15 6 6" xfId="15402"/>
    <cellStyle name="常规 15 7" xfId="15403"/>
    <cellStyle name="常规 16" xfId="15404"/>
    <cellStyle name="常规 16 10" xfId="15405"/>
    <cellStyle name="常规 16 2" xfId="15406"/>
    <cellStyle name="常规 16 2 2" xfId="15407"/>
    <cellStyle name="常规 16 2 3" xfId="15408"/>
    <cellStyle name="常规 16 2 4" xfId="15409"/>
    <cellStyle name="常规 16 3" xfId="15410"/>
    <cellStyle name="常规 16 3 2" xfId="15411"/>
    <cellStyle name="常规 16 3 3" xfId="15412"/>
    <cellStyle name="常规 16 4" xfId="15413"/>
    <cellStyle name="常规 16 4 2" xfId="15414"/>
    <cellStyle name="常规 16 4 3" xfId="15415"/>
    <cellStyle name="常规 16 4 4" xfId="15416"/>
    <cellStyle name="常规 16 4 5" xfId="15417"/>
    <cellStyle name="常规 16 4 6" xfId="15418"/>
    <cellStyle name="常规 16 5" xfId="15419"/>
    <cellStyle name="常规 16 5 2" xfId="15420"/>
    <cellStyle name="常规 16 6" xfId="15421"/>
    <cellStyle name="常规 16 7" xfId="15422"/>
    <cellStyle name="常规 16 8" xfId="15423"/>
    <cellStyle name="常规 16 9" xfId="15424"/>
    <cellStyle name="常规 17" xfId="15425"/>
    <cellStyle name="常规 17 10" xfId="15426"/>
    <cellStyle name="常规 17 2" xfId="15427"/>
    <cellStyle name="常规 17 2 2" xfId="15428"/>
    <cellStyle name="常规 17 2 2 2" xfId="15429"/>
    <cellStyle name="常规 17 2 2 3" xfId="15430"/>
    <cellStyle name="常规 17 2 3" xfId="15431"/>
    <cellStyle name="常规 17 2 3 2" xfId="15432"/>
    <cellStyle name="常规 17 2 3 3" xfId="15433"/>
    <cellStyle name="常规 17 2 3 4" xfId="15434"/>
    <cellStyle name="常规 17 2 3 5" xfId="15435"/>
    <cellStyle name="常规 17 2 3 6" xfId="15436"/>
    <cellStyle name="常规 17 2 3 7" xfId="15437"/>
    <cellStyle name="常规 17 2 3 8" xfId="15438"/>
    <cellStyle name="常规 17 2 4" xfId="15439"/>
    <cellStyle name="常规 17 2 4 2" xfId="15440"/>
    <cellStyle name="常规 17 2 5" xfId="15441"/>
    <cellStyle name="常规 17 2 5 2" xfId="15442"/>
    <cellStyle name="常规 17 2 6" xfId="15443"/>
    <cellStyle name="常规 17 2 7" xfId="15444"/>
    <cellStyle name="常规 17 2 8" xfId="15445"/>
    <cellStyle name="常规 17 2 9" xfId="15446"/>
    <cellStyle name="常规 17 3" xfId="15447"/>
    <cellStyle name="常规 17 3 2" xfId="15448"/>
    <cellStyle name="常规 17 3 2 2" xfId="15449"/>
    <cellStyle name="常规 17 3 2 3" xfId="15450"/>
    <cellStyle name="常规 17 3 2 4" xfId="15451"/>
    <cellStyle name="常规 17 3 2 5" xfId="15452"/>
    <cellStyle name="常规 17 3 2 6" xfId="15453"/>
    <cellStyle name="常规 17 3 2 7" xfId="15454"/>
    <cellStyle name="常规 17 3 2 8" xfId="15455"/>
    <cellStyle name="常规 17 3 3" xfId="15456"/>
    <cellStyle name="常规 17 3 3 2" xfId="15457"/>
    <cellStyle name="常规 17 3 4" xfId="15458"/>
    <cellStyle name="常规 17 3 4 2" xfId="15459"/>
    <cellStyle name="常规 17 3 5" xfId="15460"/>
    <cellStyle name="常规 17 3 6" xfId="15461"/>
    <cellStyle name="常规 17 3 7" xfId="15462"/>
    <cellStyle name="常规 17 3 8" xfId="15463"/>
    <cellStyle name="常规 17 4" xfId="15464"/>
    <cellStyle name="常规 17 4 2" xfId="15465"/>
    <cellStyle name="常规 17 4 2 2" xfId="15466"/>
    <cellStyle name="常规 17 4 2 3" xfId="15467"/>
    <cellStyle name="常规 17 4 3" xfId="15468"/>
    <cellStyle name="常规 17 4 3 2" xfId="15469"/>
    <cellStyle name="常规 17 4 4" xfId="15470"/>
    <cellStyle name="常规 17 4 4 2" xfId="15471"/>
    <cellStyle name="常规 17 4 5" xfId="15472"/>
    <cellStyle name="常规 17 4 6" xfId="15473"/>
    <cellStyle name="常规 17 4 7" xfId="15474"/>
    <cellStyle name="常规 17 5" xfId="15475"/>
    <cellStyle name="常规 17 5 2" xfId="15476"/>
    <cellStyle name="常规 17 5 3" xfId="15477"/>
    <cellStyle name="常规 17 6" xfId="15478"/>
    <cellStyle name="常规 17 6 2" xfId="15479"/>
    <cellStyle name="常规 17 7" xfId="15480"/>
    <cellStyle name="常规 17 7 2" xfId="15481"/>
    <cellStyle name="常规 17 8" xfId="15482"/>
    <cellStyle name="常规 17 8 2" xfId="15483"/>
    <cellStyle name="常规 17 9" xfId="15484"/>
    <cellStyle name="常规 18" xfId="15485"/>
    <cellStyle name="常规 18 2" xfId="15486"/>
    <cellStyle name="常规 18 2 2" xfId="15487"/>
    <cellStyle name="常规 18 3" xfId="15488"/>
    <cellStyle name="常规 18 4" xfId="15489"/>
    <cellStyle name="常规 19" xfId="15490"/>
    <cellStyle name="常规 19 2" xfId="15491"/>
    <cellStyle name="常规 19 2 2" xfId="15492"/>
    <cellStyle name="常规 19 3" xfId="15493"/>
    <cellStyle name="常规 19 3 2" xfId="15494"/>
    <cellStyle name="常规 19 3 3" xfId="15495"/>
    <cellStyle name="常规 19 3 4" xfId="15496"/>
    <cellStyle name="常规 19 3 5" xfId="15497"/>
    <cellStyle name="常规 19 3 6" xfId="15498"/>
    <cellStyle name="常规 19 3 7" xfId="15499"/>
    <cellStyle name="常规 19 4" xfId="15500"/>
    <cellStyle name="常规 19 5" xfId="15501"/>
    <cellStyle name="常规 19 6" xfId="15502"/>
    <cellStyle name="常规 19 7" xfId="15503"/>
    <cellStyle name="常规 19 8" xfId="15504"/>
    <cellStyle name="常规 19 9" xfId="15505"/>
    <cellStyle name="常规 2 47" xfId="15506"/>
    <cellStyle name="常规 2 10" xfId="15507"/>
    <cellStyle name="常规 2 10 10" xfId="15508"/>
    <cellStyle name="常规 2 10 2" xfId="15509"/>
    <cellStyle name="常规 2 10 2 10" xfId="15510"/>
    <cellStyle name="常规 2 10 2 2" xfId="15511"/>
    <cellStyle name="常规 2 10 2 2 2" xfId="15512"/>
    <cellStyle name="常规 2 10 2 2 2 2" xfId="15513"/>
    <cellStyle name="常规 2 10 2 2 2 2 2" xfId="15514"/>
    <cellStyle name="常规 2 10 2 2 2 2 3" xfId="15515"/>
    <cellStyle name="常规 2 10 2 2 2 3" xfId="15516"/>
    <cellStyle name="常规 2 10 2 2 2 3 2" xfId="15517"/>
    <cellStyle name="常规 2 10 2 2 2 4" xfId="15518"/>
    <cellStyle name="常规 2 10 2 2 2 4 2" xfId="15519"/>
    <cellStyle name="常规 2 10 2 2 2 5" xfId="15520"/>
    <cellStyle name="常规 2 10 2 2 2 6" xfId="15521"/>
    <cellStyle name="常规 2 10 2 2 2 7" xfId="15522"/>
    <cellStyle name="常规 2 10 2 2 3" xfId="15523"/>
    <cellStyle name="常规 2 10 2 2 3 2" xfId="15524"/>
    <cellStyle name="常规 2 10 2 2 3 3" xfId="15525"/>
    <cellStyle name="常规 2 10 2 2 4" xfId="15526"/>
    <cellStyle name="常规 2 10 2 2 4 2" xfId="15527"/>
    <cellStyle name="常规 2 10 2 2 5" xfId="15528"/>
    <cellStyle name="常规 2 10 2 2 5 2" xfId="15529"/>
    <cellStyle name="常规 2 10 2 2 6" xfId="15530"/>
    <cellStyle name="常规 2 10 2 2 7" xfId="15531"/>
    <cellStyle name="常规 2 10 2 2 8" xfId="15532"/>
    <cellStyle name="常规 2 10 2 3" xfId="15533"/>
    <cellStyle name="常规 2 10 2 3 2" xfId="15534"/>
    <cellStyle name="常规 2 10 2 3 2 2" xfId="15535"/>
    <cellStyle name="常规 2 10 2 3 2 3" xfId="15536"/>
    <cellStyle name="常规 2 10 2 3 2 4" xfId="15537"/>
    <cellStyle name="常规 2 10 2 3 2 5" xfId="15538"/>
    <cellStyle name="常规 2 10 2 3 2 6" xfId="15539"/>
    <cellStyle name="常规 2 10 2 3 2 7" xfId="15540"/>
    <cellStyle name="常规 2 10 2 3 2 8" xfId="15541"/>
    <cellStyle name="常规 2 10 2 3 3" xfId="15542"/>
    <cellStyle name="常规 2 10 2 3 3 2" xfId="15543"/>
    <cellStyle name="常规 2 10 2 3 4" xfId="15544"/>
    <cellStyle name="常规 2 10 2 3 4 2" xfId="15545"/>
    <cellStyle name="常规 2 10 2 3 5" xfId="15546"/>
    <cellStyle name="常规 2 10 2 3 6" xfId="15547"/>
    <cellStyle name="常规 2 10 2 3 7" xfId="15548"/>
    <cellStyle name="常规 2 10 2 3 8" xfId="15549"/>
    <cellStyle name="常规 2 10 2 4" xfId="15550"/>
    <cellStyle name="常规 2 10 2 4 2" xfId="15551"/>
    <cellStyle name="常规 2 10 2 4 2 2" xfId="15552"/>
    <cellStyle name="常规 2 10 2 4 2 3" xfId="15553"/>
    <cellStyle name="常规 2 10 2 4 3" xfId="15554"/>
    <cellStyle name="常规 2 10 2 4 3 2" xfId="15555"/>
    <cellStyle name="常规 2 10 2 4 4" xfId="15556"/>
    <cellStyle name="常规 2 10 2 4 4 2" xfId="15557"/>
    <cellStyle name="常规 2 10 2 4 5" xfId="15558"/>
    <cellStyle name="常规 2 10 2 4 6" xfId="15559"/>
    <cellStyle name="常规 2 10 2 4 7" xfId="15560"/>
    <cellStyle name="常规 2 10 2 5" xfId="15561"/>
    <cellStyle name="常规 2 10 2 5 2" xfId="15562"/>
    <cellStyle name="常规 2 10 2 5 3" xfId="15563"/>
    <cellStyle name="常规 2 10 2 6" xfId="15564"/>
    <cellStyle name="常规 2 10 2 6 2" xfId="15565"/>
    <cellStyle name="常规 2 10 2 7" xfId="15566"/>
    <cellStyle name="常规 2 10 2 7 2" xfId="15567"/>
    <cellStyle name="常规 2 10 2 8" xfId="15568"/>
    <cellStyle name="常规 2 10 2 9" xfId="15569"/>
    <cellStyle name="常规 2 10 3" xfId="15570"/>
    <cellStyle name="常规 2 10 3 2" xfId="15571"/>
    <cellStyle name="常规 2 10 3 2 2" xfId="15572"/>
    <cellStyle name="常规 2 10 3 2 2 2" xfId="15573"/>
    <cellStyle name="常规 2 10 3 2 3" xfId="15574"/>
    <cellStyle name="常规 2 10 3 2 4" xfId="15575"/>
    <cellStyle name="常规 2 10 3 2 5" xfId="15576"/>
    <cellStyle name="常规 2 10 3 3" xfId="15577"/>
    <cellStyle name="常规 2 10 3 3 2" xfId="15578"/>
    <cellStyle name="常规 2 10 3 3 3" xfId="15579"/>
    <cellStyle name="常规 2 10 3 3 4" xfId="15580"/>
    <cellStyle name="常规 2 10 3 3 5" xfId="15581"/>
    <cellStyle name="常规 2 10 3 3 6" xfId="15582"/>
    <cellStyle name="常规 2 10 3 3 7" xfId="15583"/>
    <cellStyle name="常规 2 10 3 3 8" xfId="15584"/>
    <cellStyle name="常规 2 10 3 4" xfId="15585"/>
    <cellStyle name="常规 2 10 3 4 2" xfId="15586"/>
    <cellStyle name="常规 2 10 3 5" xfId="15587"/>
    <cellStyle name="常规 2 10 3 5 2" xfId="15588"/>
    <cellStyle name="常规 2 10 3 6" xfId="15589"/>
    <cellStyle name="常规 2 10 3 7" xfId="15590"/>
    <cellStyle name="常规 2 10 3 8" xfId="15591"/>
    <cellStyle name="常规 2 10 3 9" xfId="15592"/>
    <cellStyle name="常规 2 10 4" xfId="15593"/>
    <cellStyle name="常规 2 10 4 2" xfId="15594"/>
    <cellStyle name="常规 2 10 4 2 2" xfId="15595"/>
    <cellStyle name="常规 2 10 4 3" xfId="15596"/>
    <cellStyle name="常规 2 10 4 4" xfId="15597"/>
    <cellStyle name="常规 2 10 4 5" xfId="15598"/>
    <cellStyle name="常规 2 10 5" xfId="15599"/>
    <cellStyle name="常规 2 10 5 2" xfId="15600"/>
    <cellStyle name="常规 2 10 5 2 2" xfId="15601"/>
    <cellStyle name="常规 2 10 5 3" xfId="15602"/>
    <cellStyle name="常规 2 10 5 4" xfId="15603"/>
    <cellStyle name="常规 2 10 6" xfId="15604"/>
    <cellStyle name="常规 2 10 6 2" xfId="15605"/>
    <cellStyle name="常规 2 10 6 3" xfId="15606"/>
    <cellStyle name="常规 2 10 7" xfId="15607"/>
    <cellStyle name="常规 2 10 7 2" xfId="15608"/>
    <cellStyle name="常规 2 10 8" xfId="15609"/>
    <cellStyle name="常规 2 10 9" xfId="15610"/>
    <cellStyle name="常规 2 11" xfId="15611"/>
    <cellStyle name="常规 2 11 2" xfId="15612"/>
    <cellStyle name="常规 2 11 2 2" xfId="15613"/>
    <cellStyle name="常规 2 11 3" xfId="15614"/>
    <cellStyle name="常规 2 11 3 2" xfId="15615"/>
    <cellStyle name="常规 2 11 3 3" xfId="15616"/>
    <cellStyle name="常规 2 11 3 4" xfId="15617"/>
    <cellStyle name="常规 2 11 4" xfId="15618"/>
    <cellStyle name="常规 2 11 4 2" xfId="15619"/>
    <cellStyle name="常规 2 11 4 3" xfId="15620"/>
    <cellStyle name="常规 2 11 5" xfId="15621"/>
    <cellStyle name="常规 2 11 6" xfId="15622"/>
    <cellStyle name="常规 2 11 7" xfId="15623"/>
    <cellStyle name="常规 2 12" xfId="15624"/>
    <cellStyle name="常规 2 12 2" xfId="15625"/>
    <cellStyle name="常规 2 12 2 2" xfId="15626"/>
    <cellStyle name="常规 2 12 2 2 2" xfId="15627"/>
    <cellStyle name="常规 2 12 2 2 2 2" xfId="15628"/>
    <cellStyle name="常规 2 12 2 2 2 2 2" xfId="15629"/>
    <cellStyle name="常规 2 12 2 2 2 2 3" xfId="15630"/>
    <cellStyle name="常规 2 12 2 2 2 3" xfId="15631"/>
    <cellStyle name="常规 2 12 2 2 2 3 2" xfId="15632"/>
    <cellStyle name="常规 2 12 2 2 2 4" xfId="15633"/>
    <cellStyle name="常规 2 12 2 2 2 4 2" xfId="15634"/>
    <cellStyle name="常规 2 12 2 2 2 5" xfId="15635"/>
    <cellStyle name="常规 2 12 2 2 2 6" xfId="15636"/>
    <cellStyle name="常规 2 12 2 2 2 7" xfId="15637"/>
    <cellStyle name="常规 2 12 2 2 3" xfId="15638"/>
    <cellStyle name="常规 2 12 2 2 3 2" xfId="15639"/>
    <cellStyle name="常规 2 12 2 2 3 3" xfId="15640"/>
    <cellStyle name="常规 2 12 2 2 4" xfId="15641"/>
    <cellStyle name="常规 2 12 2 2 4 2" xfId="15642"/>
    <cellStyle name="常规 2 12 2 2 5" xfId="15643"/>
    <cellStyle name="常规 2 12 2 2 5 2" xfId="15644"/>
    <cellStyle name="常规 2 12 2 2 6" xfId="15645"/>
    <cellStyle name="常规 2 12 2 2 7" xfId="15646"/>
    <cellStyle name="常规 2 12 2 2 8" xfId="15647"/>
    <cellStyle name="常规 2 12 2 3" xfId="15648"/>
    <cellStyle name="常规 2 12 2 3 2" xfId="15649"/>
    <cellStyle name="常规 2 12 2 3 2 2" xfId="15650"/>
    <cellStyle name="常规 2 12 2 3 2 3" xfId="15651"/>
    <cellStyle name="常规 2 12 2 3 3" xfId="15652"/>
    <cellStyle name="常规 2 12 2 3 3 2" xfId="15653"/>
    <cellStyle name="常规 2 12 2 3 4" xfId="15654"/>
    <cellStyle name="常规 2 12 2 3 4 2" xfId="15655"/>
    <cellStyle name="常规 2 12 2 3 5" xfId="15656"/>
    <cellStyle name="常规 2 12 2 3 6" xfId="15657"/>
    <cellStyle name="常规 2 12 2 3 7" xfId="15658"/>
    <cellStyle name="常规 2 12 2 4" xfId="15659"/>
    <cellStyle name="常规 2 12 2 4 2" xfId="15660"/>
    <cellStyle name="常规 2 12 2 4 3" xfId="15661"/>
    <cellStyle name="常规 2 12 2 5" xfId="15662"/>
    <cellStyle name="常规 2 12 2 5 2" xfId="15663"/>
    <cellStyle name="常规 2 12 2 6" xfId="15664"/>
    <cellStyle name="常规 2 12 2 6 2" xfId="15665"/>
    <cellStyle name="常规 2 12 2 7" xfId="15666"/>
    <cellStyle name="常规 2 12 2 8" xfId="15667"/>
    <cellStyle name="常规 2 12 2 9" xfId="15668"/>
    <cellStyle name="常规 2 12 3" xfId="15669"/>
    <cellStyle name="常规 2 12 3 2" xfId="15670"/>
    <cellStyle name="常规 2 12 3 2 2" xfId="15671"/>
    <cellStyle name="常规 2 12 3 2 2 2" xfId="15672"/>
    <cellStyle name="常规 2 12 3 2 2 3" xfId="15673"/>
    <cellStyle name="常规 2 12 3 2 3" xfId="15674"/>
    <cellStyle name="常规 2 12 3 2 3 2" xfId="15675"/>
    <cellStyle name="常规 2 12 3 2 4" xfId="15676"/>
    <cellStyle name="常规 2 12 3 2 4 2" xfId="15677"/>
    <cellStyle name="常规 2 12 3 2 5" xfId="15678"/>
    <cellStyle name="常规 2 12 3 2 6" xfId="15679"/>
    <cellStyle name="常规 2 12 3 2 7" xfId="15680"/>
    <cellStyle name="常规 2 12 3 3" xfId="15681"/>
    <cellStyle name="常规 2 12 3 3 2" xfId="15682"/>
    <cellStyle name="常规 2 12 3 3 3" xfId="15683"/>
    <cellStyle name="常规 2 12 3 4" xfId="15684"/>
    <cellStyle name="常规 2 12 3 4 2" xfId="15685"/>
    <cellStyle name="常规 2 12 3 5" xfId="15686"/>
    <cellStyle name="常规 2 12 3 5 2" xfId="15687"/>
    <cellStyle name="常规 2 12 3 6" xfId="15688"/>
    <cellStyle name="常规 2 12 3 7" xfId="15689"/>
    <cellStyle name="常规 2 12 3 8" xfId="15690"/>
    <cellStyle name="常规 2 12 4" xfId="15691"/>
    <cellStyle name="常规 2 12 4 2" xfId="15692"/>
    <cellStyle name="常规 2 12 4 2 2" xfId="15693"/>
    <cellStyle name="常规 2 12 4 2 3" xfId="15694"/>
    <cellStyle name="常规 2 12 4 2 4" xfId="15695"/>
    <cellStyle name="常规 2 12 4 2 5" xfId="15696"/>
    <cellStyle name="常规 2 12 4 2 6" xfId="15697"/>
    <cellStyle name="常规 2 12 4 2 7" xfId="15698"/>
    <cellStyle name="常规 2 12 4 2 8" xfId="15699"/>
    <cellStyle name="常规 2 12 4 3" xfId="15700"/>
    <cellStyle name="常规 2 12 4 3 2" xfId="15701"/>
    <cellStyle name="常规 2 12 4 4" xfId="15702"/>
    <cellStyle name="常规 2 12 4 4 2" xfId="15703"/>
    <cellStyle name="常规 2 12 4 5" xfId="15704"/>
    <cellStyle name="常规 2 12 4 6" xfId="15705"/>
    <cellStyle name="常规 2 12 4 7" xfId="15706"/>
    <cellStyle name="常规 2 12 4 8" xfId="15707"/>
    <cellStyle name="常规 2 12 5" xfId="15708"/>
    <cellStyle name="常规 2 12 5 2" xfId="15709"/>
    <cellStyle name="常规 2 12 5 2 2" xfId="15710"/>
    <cellStyle name="常规 2 12 5 3" xfId="15711"/>
    <cellStyle name="常规 2 12 6" xfId="15712"/>
    <cellStyle name="常规 2 12 6 2" xfId="15713"/>
    <cellStyle name="常规 2 12 7" xfId="15714"/>
    <cellStyle name="常规 2 12 8" xfId="15715"/>
    <cellStyle name="常规 2 13" xfId="15716"/>
    <cellStyle name="常规 2 13 2" xfId="15717"/>
    <cellStyle name="常规 2 13 2 2" xfId="15718"/>
    <cellStyle name="常规 2 13 2 2 2" xfId="15719"/>
    <cellStyle name="常规 2 13 2 2 2 2" xfId="15720"/>
    <cellStyle name="常规 2 13 2 2 2 2 2" xfId="15721"/>
    <cellStyle name="常规 2 13 2 2 2 3" xfId="15722"/>
    <cellStyle name="常规 2 13 2 2 2 4" xfId="15723"/>
    <cellStyle name="常规 2 13 2 2 3" xfId="15724"/>
    <cellStyle name="常规 2 13 2 2 3 2" xfId="15725"/>
    <cellStyle name="常规 2 13 2 2 4" xfId="15726"/>
    <cellStyle name="常规 2 13 2 2 5" xfId="15727"/>
    <cellStyle name="常规 2 13 2 3" xfId="15728"/>
    <cellStyle name="常规 2 13 2 3 2" xfId="15729"/>
    <cellStyle name="常规 2 13 2 3 2 2" xfId="15730"/>
    <cellStyle name="常规 2 13 2 3 3" xfId="15731"/>
    <cellStyle name="常规 2 13 2 3 4" xfId="15732"/>
    <cellStyle name="常规 2 13 2 4" xfId="15733"/>
    <cellStyle name="常规 2 13 2 4 2" xfId="15734"/>
    <cellStyle name="常规 2 13 2 5" xfId="15735"/>
    <cellStyle name="常规 2 13 2 6" xfId="15736"/>
    <cellStyle name="常规 2 13 3" xfId="15737"/>
    <cellStyle name="常规 2 13 3 2" xfId="15738"/>
    <cellStyle name="常规 2 13 3 2 2" xfId="15739"/>
    <cellStyle name="常规 2 13 3 2 2 2" xfId="15740"/>
    <cellStyle name="常规 2 13 3 2 3" xfId="15741"/>
    <cellStyle name="常规 2 13 3 2 4" xfId="15742"/>
    <cellStyle name="常规 2 13 3 3" xfId="15743"/>
    <cellStyle name="常规 2 13 3 3 2" xfId="15744"/>
    <cellStyle name="常规 2 13 3 4" xfId="15745"/>
    <cellStyle name="常规 2 13 3 5" xfId="15746"/>
    <cellStyle name="常规 2 13 4" xfId="15747"/>
    <cellStyle name="常规 2 13 4 2" xfId="15748"/>
    <cellStyle name="常规 2 13 4 2 2" xfId="15749"/>
    <cellStyle name="常规 2 13 4 3" xfId="15750"/>
    <cellStyle name="常规 2 13 4 4" xfId="15751"/>
    <cellStyle name="常规 2 13 5" xfId="15752"/>
    <cellStyle name="常规 2 13 5 2" xfId="15753"/>
    <cellStyle name="常规 2 13 6" xfId="15754"/>
    <cellStyle name="常规 2 13 7" xfId="15755"/>
    <cellStyle name="常规 2 13 8" xfId="15756"/>
    <cellStyle name="常规 2 14" xfId="15757"/>
    <cellStyle name="常规 2 14 2" xfId="15758"/>
    <cellStyle name="常规 2 14 3" xfId="15759"/>
    <cellStyle name="常规 2 14 4" xfId="15760"/>
    <cellStyle name="常规 2 14 5" xfId="15761"/>
    <cellStyle name="常规 2 15" xfId="15762"/>
    <cellStyle name="常规 2 15 2" xfId="15763"/>
    <cellStyle name="常规 2 15 3" xfId="15764"/>
    <cellStyle name="常规 2 15 4" xfId="15765"/>
    <cellStyle name="常规 2 15 5" xfId="15766"/>
    <cellStyle name="常规 2 16" xfId="15767"/>
    <cellStyle name="常规 2 16 2" xfId="15768"/>
    <cellStyle name="常规 2 16 3" xfId="15769"/>
    <cellStyle name="常规 2 16 4" xfId="15770"/>
    <cellStyle name="常规 2 16 5" xfId="15771"/>
    <cellStyle name="常规 2 17" xfId="15772"/>
    <cellStyle name="常规 2 17 2" xfId="15773"/>
    <cellStyle name="常规 2 17 3" xfId="15774"/>
    <cellStyle name="常规 2 18" xfId="15775"/>
    <cellStyle name="常规 2 18 2" xfId="15776"/>
    <cellStyle name="常规 2 18 2 2" xfId="15777"/>
    <cellStyle name="常规 2 18 2 2 2" xfId="15778"/>
    <cellStyle name="常规 2 18 2 2 2 2" xfId="15779"/>
    <cellStyle name="常规 2 18 2 2 3" xfId="15780"/>
    <cellStyle name="常规 2 18 2 2 4" xfId="15781"/>
    <cellStyle name="常规 2 18 2 3" xfId="15782"/>
    <cellStyle name="常规 2 18 2 3 2" xfId="15783"/>
    <cellStyle name="常规 2 18 2 4" xfId="15784"/>
    <cellStyle name="常规 2 18 2 5" xfId="15785"/>
    <cellStyle name="常规 2 18 3" xfId="15786"/>
    <cellStyle name="常规 2 18 3 2" xfId="15787"/>
    <cellStyle name="常规 2 18 3 2 2" xfId="15788"/>
    <cellStyle name="常规 2 18 3 3" xfId="15789"/>
    <cellStyle name="常规 2 18 3 4" xfId="15790"/>
    <cellStyle name="常规 2 18 4" xfId="15791"/>
    <cellStyle name="常规 2 18 4 2" xfId="15792"/>
    <cellStyle name="常规 2 18 5" xfId="15793"/>
    <cellStyle name="常规 2 18 6" xfId="15794"/>
    <cellStyle name="常规 2 18 7" xfId="15795"/>
    <cellStyle name="常规 2 19" xfId="15796"/>
    <cellStyle name="常规 2 19 2" xfId="15797"/>
    <cellStyle name="常规 2 19 2 2" xfId="15798"/>
    <cellStyle name="常规 2 19 2 2 2" xfId="15799"/>
    <cellStyle name="常规 2 19 2 3" xfId="15800"/>
    <cellStyle name="常规 2 19 2 4" xfId="15801"/>
    <cellStyle name="常规 2 19 3" xfId="15802"/>
    <cellStyle name="常规 2 19 3 2" xfId="15803"/>
    <cellStyle name="常规 2 19 4" xfId="15804"/>
    <cellStyle name="常规 2 19 5" xfId="15805"/>
    <cellStyle name="常规 2 19 6" xfId="15806"/>
    <cellStyle name="常规 2 2" xfId="15807"/>
    <cellStyle name="常规 2 2 10" xfId="15808"/>
    <cellStyle name="常规 2 2 10 2" xfId="15809"/>
    <cellStyle name="常规 2 2 10 2 2" xfId="15810"/>
    <cellStyle name="常规 2 2 10 2 2 2" xfId="15811"/>
    <cellStyle name="常规 2 2 10 2 3" xfId="15812"/>
    <cellStyle name="常规 2 2 10 2 4" xfId="15813"/>
    <cellStyle name="常规 2 2 10 3" xfId="15814"/>
    <cellStyle name="常规 2 2 10 3 2" xfId="15815"/>
    <cellStyle name="常规 2 2 10 4" xfId="15816"/>
    <cellStyle name="常规 2 2 10 5" xfId="15817"/>
    <cellStyle name="常规 2 2 10 6" xfId="15818"/>
    <cellStyle name="常规 2 2 11" xfId="15819"/>
    <cellStyle name="常规 2 2 11 2" xfId="15820"/>
    <cellStyle name="常规 2 2 12" xfId="15821"/>
    <cellStyle name="常规 2 2 12 2" xfId="15822"/>
    <cellStyle name="常规 2 2 12 3" xfId="15823"/>
    <cellStyle name="常规 2 2 13" xfId="15824"/>
    <cellStyle name="常规 2 2 13 2" xfId="15825"/>
    <cellStyle name="常规 2 2 13 2 2" xfId="15826"/>
    <cellStyle name="常规 2 2 13 3" xfId="15827"/>
    <cellStyle name="常规 2 2 13 4" xfId="15828"/>
    <cellStyle name="常规 2 2 13 5" xfId="15829"/>
    <cellStyle name="常规 2 2 14" xfId="15830"/>
    <cellStyle name="常规 2 2 14 2" xfId="15831"/>
    <cellStyle name="常规 2 2 14 2 2" xfId="15832"/>
    <cellStyle name="常规 2 2 14 3" xfId="15833"/>
    <cellStyle name="常规 2 2 14 4" xfId="15834"/>
    <cellStyle name="常规 2 2 14 5" xfId="15835"/>
    <cellStyle name="常规 2 2 15" xfId="15836"/>
    <cellStyle name="常规 2 2 15 2" xfId="15837"/>
    <cellStyle name="常规 2 2 16" xfId="15838"/>
    <cellStyle name="常规 2 2 17" xfId="15839"/>
    <cellStyle name="常规 2 2 18" xfId="15840"/>
    <cellStyle name="常规 2 2 19" xfId="15841"/>
    <cellStyle name="常规 2 2 2" xfId="15842"/>
    <cellStyle name="常规 2 2 2 10" xfId="15843"/>
    <cellStyle name="常规 2 2 2 10 2" xfId="15844"/>
    <cellStyle name="常规 2 2 2 10 2 2" xfId="15845"/>
    <cellStyle name="常规 2 2 2 10 3" xfId="15846"/>
    <cellStyle name="常规 2 2 2 10 4" xfId="15847"/>
    <cellStyle name="常规 2 2 2 10 5" xfId="15848"/>
    <cellStyle name="常规 2 2 2 11" xfId="15849"/>
    <cellStyle name="常规 2 2 2 11 2" xfId="15850"/>
    <cellStyle name="常规 2 2 2 11 3" xfId="15851"/>
    <cellStyle name="常规 2 2 2 12" xfId="15852"/>
    <cellStyle name="常规 2 2 2 12 2" xfId="15853"/>
    <cellStyle name="常规 2 2 2 13" xfId="15854"/>
    <cellStyle name="常规 2 2 2 13 2" xfId="15855"/>
    <cellStyle name="常规 2 2 2 14" xfId="15856"/>
    <cellStyle name="常规 2 2 2 2" xfId="15857"/>
    <cellStyle name="常规 2 2 2 2 10" xfId="15858"/>
    <cellStyle name="常规 2 2 2 2 10 2" xfId="15859"/>
    <cellStyle name="常规 2 2 2 2 11" xfId="15860"/>
    <cellStyle name="常规 2 2 2 2 11 2" xfId="15861"/>
    <cellStyle name="常规 2 2 2 2 12" xfId="15862"/>
    <cellStyle name="常规 2 2 2 2 13" xfId="15863"/>
    <cellStyle name="常规 2 2 2 2 2" xfId="15864"/>
    <cellStyle name="常规 2 2 2 2 2 10" xfId="15865"/>
    <cellStyle name="常规 2 2 2 2 2 2" xfId="15866"/>
    <cellStyle name="常规 2 2 2 2 2 2 2" xfId="15867"/>
    <cellStyle name="常规 2 2 2 2 2 2 2 2" xfId="15868"/>
    <cellStyle name="常规 2 2 2 2 2 2 2 2 2" xfId="15869"/>
    <cellStyle name="常规 2 2 2 2 2 2 2 2 2 2" xfId="15870"/>
    <cellStyle name="常规 2 2 2 2 2 2 2 2 3" xfId="15871"/>
    <cellStyle name="常规 2 2 2 2 2 2 2 2 4" xfId="15872"/>
    <cellStyle name="常规 2 2 2 2 2 2 2 3" xfId="15873"/>
    <cellStyle name="常规 2 2 2 2 2 2 2 3 2" xfId="15874"/>
    <cellStyle name="常规 2 2 2 2 2 2 2 3 2 2" xfId="15875"/>
    <cellStyle name="常规 2 2 2 2 2 2 2 3 3" xfId="15876"/>
    <cellStyle name="常规 2 2 2 2 2 2 2 3 4" xfId="15877"/>
    <cellStyle name="常规 2 2 2 2 2 2 2 4" xfId="15878"/>
    <cellStyle name="常规 2 2 2 2 2 2 2 4 2" xfId="15879"/>
    <cellStyle name="常规 2 2 2 2 2 2 2 5" xfId="15880"/>
    <cellStyle name="常规 2 2 2 2 2 2 2 6" xfId="15881"/>
    <cellStyle name="常规 2 2 2 2 2 2 3" xfId="15882"/>
    <cellStyle name="常规 2 2 2 2 2 2 3 2" xfId="15883"/>
    <cellStyle name="常规 2 2 2 2 2 2 3 2 2" xfId="15884"/>
    <cellStyle name="常规 2 2 2 2 2 2 3 3" xfId="15885"/>
    <cellStyle name="常规 2 2 2 2 2 2 3 4" xfId="15886"/>
    <cellStyle name="常规 2 2 2 2 2 2 4" xfId="15887"/>
    <cellStyle name="常规 2 2 2 2 2 2 4 2" xfId="15888"/>
    <cellStyle name="常规 2 2 2 2 2 2 4 2 2" xfId="15889"/>
    <cellStyle name="常规 2 2 2 2 2 2 4 3" xfId="15890"/>
    <cellStyle name="常规 2 2 2 2 2 2 4 4" xfId="15891"/>
    <cellStyle name="常规 2 2 2 2 2 2 5" xfId="15892"/>
    <cellStyle name="常规 2 2 2 2 2 2 5 2" xfId="15893"/>
    <cellStyle name="常规 2 2 2 2 2 2 6" xfId="15894"/>
    <cellStyle name="常规 2 2 2 2 2 2 7" xfId="15895"/>
    <cellStyle name="常规 2 2 2 2 2 2 8" xfId="15896"/>
    <cellStyle name="常规 2 2 2 2 2 3" xfId="15897"/>
    <cellStyle name="常规 2 2 2 2 2 3 2" xfId="15898"/>
    <cellStyle name="常规 2 2 2 2 2 3 2 2" xfId="15899"/>
    <cellStyle name="常规 2 2 2 2 2 3 2 2 2" xfId="15900"/>
    <cellStyle name="常规 2 2 2 2 2 3 2 3" xfId="15901"/>
    <cellStyle name="常规 2 2 2 2 2 3 2 4" xfId="15902"/>
    <cellStyle name="常规 2 2 2 2 2 3 2 5" xfId="15903"/>
    <cellStyle name="常规 2 2 2 2 2 3 3" xfId="15904"/>
    <cellStyle name="常规 2 2 2 2 2 3 3 2" xfId="15905"/>
    <cellStyle name="常规 2 2 2 2 2 3 3 2 2" xfId="15906"/>
    <cellStyle name="常规 2 2 2 2 2 3 3 3" xfId="15907"/>
    <cellStyle name="常规 2 2 2 2 2 3 3 4" xfId="15908"/>
    <cellStyle name="常规 2 2 2 2 2 3 3 5" xfId="15909"/>
    <cellStyle name="常规 2 2 2 2 2 3 4" xfId="15910"/>
    <cellStyle name="常规 2 2 2 2 2 3 4 2" xfId="15911"/>
    <cellStyle name="常规 2 2 2 2 2 3 4 3" xfId="15912"/>
    <cellStyle name="常规 2 2 2 2 2 3 5" xfId="15913"/>
    <cellStyle name="常规 2 2 2 2 2 3 5 2" xfId="15914"/>
    <cellStyle name="常规 2 2 2 2 2 3 6" xfId="15915"/>
    <cellStyle name="常规 2 2 2 2 2 3 6 2" xfId="15916"/>
    <cellStyle name="常规 2 2 2 2 2 3 7" xfId="15917"/>
    <cellStyle name="常规 2 2 2 2 2 4" xfId="15918"/>
    <cellStyle name="常规 2 2 2 2 2 4 2" xfId="15919"/>
    <cellStyle name="常规 2 2 2 2 2 4 2 2" xfId="15920"/>
    <cellStyle name="常规 2 2 2 2 2 4 2 2 2" xfId="15921"/>
    <cellStyle name="常规 2 2 2 2 2 4 2 3" xfId="15922"/>
    <cellStyle name="常规 2 2 2 2 2 4 2 4" xfId="15923"/>
    <cellStyle name="常规 2 2 2 2 2 4 3" xfId="15924"/>
    <cellStyle name="常规 2 2 2 2 2 4 3 2" xfId="15925"/>
    <cellStyle name="常规 2 2 2 2 2 4 4" xfId="15926"/>
    <cellStyle name="常规 2 2 2 2 2 4 5" xfId="15927"/>
    <cellStyle name="常规 2 2 2 2 2 4 6" xfId="15928"/>
    <cellStyle name="常规 2 2 2 2 2 5" xfId="15929"/>
    <cellStyle name="常规 2 2 2 2 2 5 2" xfId="15930"/>
    <cellStyle name="常规 2 2 2 2 2 5 2 2" xfId="15931"/>
    <cellStyle name="常规 2 2 2 2 2 5 3" xfId="15932"/>
    <cellStyle name="常规 2 2 2 2 2 5 4" xfId="15933"/>
    <cellStyle name="常规 2 2 2 2 2 5 5" xfId="15934"/>
    <cellStyle name="常规 2 2 2 2 2 6" xfId="15935"/>
    <cellStyle name="常规 2 2 2 2 2 6 2" xfId="15936"/>
    <cellStyle name="常规 2 2 2 2 2 6 2 2" xfId="15937"/>
    <cellStyle name="常规 2 2 2 2 2 6 3" xfId="15938"/>
    <cellStyle name="常规 2 2 2 2 2 6 4" xfId="15939"/>
    <cellStyle name="常规 2 2 2 2 2 6 5" xfId="15940"/>
    <cellStyle name="常规 2 2 2 2 2 7" xfId="15941"/>
    <cellStyle name="常规 2 2 2 2 2 7 2" xfId="15942"/>
    <cellStyle name="常规 2 2 2 2 2 7 3" xfId="15943"/>
    <cellStyle name="常规 2 2 2 2 2 8" xfId="15944"/>
    <cellStyle name="常规 2 2 2 2 2 8 2" xfId="15945"/>
    <cellStyle name="常规 2 2 2 2 2 9" xfId="15946"/>
    <cellStyle name="常规 2 2 2 2 3" xfId="15947"/>
    <cellStyle name="常规 2 2 2 2 3 2" xfId="15948"/>
    <cellStyle name="常规 2 2 2 2 3 2 2" xfId="15949"/>
    <cellStyle name="常规 2 2 2 2 3 2 2 2" xfId="15950"/>
    <cellStyle name="常规 2 2 2 2 3 2 2 2 2" xfId="15951"/>
    <cellStyle name="常规 2 2 2 2 3 2 2 2 3" xfId="15952"/>
    <cellStyle name="常规 2 2 2 2 3 2 2 3" xfId="15953"/>
    <cellStyle name="常规 2 2 2 2 3 2 2 3 2" xfId="15954"/>
    <cellStyle name="常规 2 2 2 2 3 2 2 4" xfId="15955"/>
    <cellStyle name="常规 2 2 2 2 3 2 2 4 2" xfId="15956"/>
    <cellStyle name="常规 2 2 2 2 3 2 2 5" xfId="15957"/>
    <cellStyle name="常规 2 2 2 2 3 2 2 6" xfId="15958"/>
    <cellStyle name="常规 2 2 2 2 3 2 2 7" xfId="15959"/>
    <cellStyle name="常规 2 2 2 2 3 2 3" xfId="15960"/>
    <cellStyle name="常规 2 2 2 2 3 2 3 2" xfId="15961"/>
    <cellStyle name="常规 2 2 2 2 3 2 3 2 2" xfId="15962"/>
    <cellStyle name="常规 2 2 2 2 3 2 3 3" xfId="15963"/>
    <cellStyle name="常规 2 2 2 2 3 2 3 4" xfId="15964"/>
    <cellStyle name="常规 2 2 2 2 3 2 3 5" xfId="15965"/>
    <cellStyle name="常规 2 2 2 2 3 2 4" xfId="15966"/>
    <cellStyle name="常规 2 2 2 2 3 2 4 2" xfId="15967"/>
    <cellStyle name="常规 2 2 2 2 3 2 4 3" xfId="15968"/>
    <cellStyle name="常规 2 2 2 2 3 2 5" xfId="15969"/>
    <cellStyle name="常规 2 2 2 2 3 2 5 2" xfId="15970"/>
    <cellStyle name="常规 2 2 2 2 3 2 6" xfId="15971"/>
    <cellStyle name="常规 2 2 2 2 3 2 6 2" xfId="15972"/>
    <cellStyle name="常规 2 2 2 2 3 2 7" xfId="15973"/>
    <cellStyle name="常规 2 2 2 2 3 2 8" xfId="15974"/>
    <cellStyle name="常规 2 2 2 2 3 3" xfId="15975"/>
    <cellStyle name="常规 2 2 2 2 3 3 2" xfId="15976"/>
    <cellStyle name="常规 2 2 2 2 3 3 2 2" xfId="15977"/>
    <cellStyle name="常规 2 2 2 2 3 3 2 3" xfId="15978"/>
    <cellStyle name="常规 2 2 2 2 3 3 3" xfId="15979"/>
    <cellStyle name="常规 2 2 2 2 3 3 3 2" xfId="15980"/>
    <cellStyle name="常规 2 2 2 2 3 3 4" xfId="15981"/>
    <cellStyle name="常规 2 2 2 2 3 3 4 2" xfId="15982"/>
    <cellStyle name="常规 2 2 2 2 3 3 5" xfId="15983"/>
    <cellStyle name="常规 2 2 2 2 3 3 6" xfId="15984"/>
    <cellStyle name="常规 2 2 2 2 3 3 7" xfId="15985"/>
    <cellStyle name="常规 2 2 2 2 3 4" xfId="15986"/>
    <cellStyle name="常规 2 2 2 2 3 4 2" xfId="15987"/>
    <cellStyle name="常规 2 2 2 2 3 4 2 2" xfId="15988"/>
    <cellStyle name="常规 2 2 2 2 3 4 3" xfId="15989"/>
    <cellStyle name="常规 2 2 2 2 3 4 4" xfId="15990"/>
    <cellStyle name="常规 2 2 2 2 3 4 5" xfId="15991"/>
    <cellStyle name="常规 2 2 2 2 3 5" xfId="15992"/>
    <cellStyle name="常规 2 2 2 2 3 5 2" xfId="15993"/>
    <cellStyle name="常规 2 2 2 2 3 5 3" xfId="15994"/>
    <cellStyle name="常规 2 2 2 2 3 6" xfId="15995"/>
    <cellStyle name="常规 2 2 2 2 3 6 2" xfId="15996"/>
    <cellStyle name="常规 2 2 2 2 3 7" xfId="15997"/>
    <cellStyle name="常规 2 2 2 2 3 7 2" xfId="15998"/>
    <cellStyle name="常规 2 2 2 2 3 8" xfId="15999"/>
    <cellStyle name="常规 2 2 2 2 3 9" xfId="16000"/>
    <cellStyle name="常规 2 2 2 2 4" xfId="16001"/>
    <cellStyle name="常规 2 2 2 2 4 2" xfId="16002"/>
    <cellStyle name="常规 2 2 2 2 4 2 2" xfId="16003"/>
    <cellStyle name="常规 2 2 2 2 4 2 2 2" xfId="16004"/>
    <cellStyle name="常规 2 2 2 2 4 2 2 3" xfId="16005"/>
    <cellStyle name="常规 2 2 2 2 4 2 2 4" xfId="16006"/>
    <cellStyle name="常规 2 2 2 2 4 2 2 5" xfId="16007"/>
    <cellStyle name="常规 2 2 2 2 4 2 2 6" xfId="16008"/>
    <cellStyle name="常规 2 2 2 2 4 2 2 7" xfId="16009"/>
    <cellStyle name="常规 2 2 2 2 4 2 2 8" xfId="16010"/>
    <cellStyle name="常规 2 2 2 2 4 2 3" xfId="16011"/>
    <cellStyle name="常规 2 2 2 2 4 2 3 2" xfId="16012"/>
    <cellStyle name="常规 2 2 2 2 4 2 4" xfId="16013"/>
    <cellStyle name="常规 2 2 2 2 4 2 4 2" xfId="16014"/>
    <cellStyle name="常规 2 2 2 2 4 2 5" xfId="16015"/>
    <cellStyle name="常规 2 2 2 2 4 2 6" xfId="16016"/>
    <cellStyle name="常规 2 2 2 2 4 2 7" xfId="16017"/>
    <cellStyle name="常规 2 2 2 2 4 2 8" xfId="16018"/>
    <cellStyle name="常规 2 2 2 2 4 3" xfId="16019"/>
    <cellStyle name="常规 2 2 2 2 4 3 2" xfId="16020"/>
    <cellStyle name="常规 2 2 2 2 4 3 2 2" xfId="16021"/>
    <cellStyle name="常规 2 2 2 2 4 3 2 3" xfId="16022"/>
    <cellStyle name="常规 2 2 2 2 4 3 3" xfId="16023"/>
    <cellStyle name="常规 2 2 2 2 4 3 3 2" xfId="16024"/>
    <cellStyle name="常规 2 2 2 2 4 3 4" xfId="16025"/>
    <cellStyle name="常规 2 2 2 2 4 3 4 2" xfId="16026"/>
    <cellStyle name="常规 2 2 2 2 4 3 5" xfId="16027"/>
    <cellStyle name="常规 2 2 2 2 4 3 6" xfId="16028"/>
    <cellStyle name="常规 2 2 2 2 4 3 7" xfId="16029"/>
    <cellStyle name="常规 2 2 2 2 4 4" xfId="16030"/>
    <cellStyle name="常规 2 2 2 2 4 4 2" xfId="16031"/>
    <cellStyle name="常规 2 2 2 2 4 4 3" xfId="16032"/>
    <cellStyle name="常规 2 2 2 2 4 5" xfId="16033"/>
    <cellStyle name="常规 2 2 2 2 4 5 2" xfId="16034"/>
    <cellStyle name="常规 2 2 2 2 4 6" xfId="16035"/>
    <cellStyle name="常规 2 2 2 2 4 6 2" xfId="16036"/>
    <cellStyle name="常规 2 2 2 2 4 7" xfId="16037"/>
    <cellStyle name="常规 2 2 2 2 4 8" xfId="16038"/>
    <cellStyle name="常规 2 2 2 2 4 9" xfId="16039"/>
    <cellStyle name="常规 2 2 2 2 5" xfId="16040"/>
    <cellStyle name="常规 2 2 2 2 5 2" xfId="16041"/>
    <cellStyle name="常规 2 2 2 2 5 2 2" xfId="16042"/>
    <cellStyle name="常规 2 2 2 2 5 2 2 2" xfId="16043"/>
    <cellStyle name="常规 2 2 2 2 5 2 3" xfId="16044"/>
    <cellStyle name="常规 2 2 2 2 5 2 4" xfId="16045"/>
    <cellStyle name="常规 2 2 2 2 5 3" xfId="16046"/>
    <cellStyle name="常规 2 2 2 2 5 3 2" xfId="16047"/>
    <cellStyle name="常规 2 2 2 2 5 4" xfId="16048"/>
    <cellStyle name="常规 2 2 2 2 5 5" xfId="16049"/>
    <cellStyle name="常规 2 2 2 2 5 6" xfId="16050"/>
    <cellStyle name="常规 2 2 2 2 6" xfId="16051"/>
    <cellStyle name="常规 2 2 2 2 6 2" xfId="16052"/>
    <cellStyle name="常规 2 2 2 2 6 2 2" xfId="16053"/>
    <cellStyle name="常规 2 2 2 2 6 2 3" xfId="16054"/>
    <cellStyle name="常规 2 2 2 2 6 2 4" xfId="16055"/>
    <cellStyle name="常规 2 2 2 2 6 2 5" xfId="16056"/>
    <cellStyle name="常规 2 2 2 2 6 2 6" xfId="16057"/>
    <cellStyle name="常规 2 2 2 2 6 2 7" xfId="16058"/>
    <cellStyle name="常规 2 2 2 2 6 2 8" xfId="16059"/>
    <cellStyle name="常规 2 2 2 2 6 3" xfId="16060"/>
    <cellStyle name="常规 2 2 2 2 6 3 2" xfId="16061"/>
    <cellStyle name="常规 2 2 2 2 6 4" xfId="16062"/>
    <cellStyle name="常规 2 2 2 2 6 4 2" xfId="16063"/>
    <cellStyle name="常规 2 2 2 2 6 5" xfId="16064"/>
    <cellStyle name="常规 2 2 2 2 6 6" xfId="16065"/>
    <cellStyle name="常规 2 2 2 2 6 7" xfId="16066"/>
    <cellStyle name="常规 2 2 2 2 6 8" xfId="16067"/>
    <cellStyle name="常规 2 2 2 2 7" xfId="16068"/>
    <cellStyle name="常规 2 2 2 2 7 2" xfId="16069"/>
    <cellStyle name="常规 2 2 2 2 7 2 2" xfId="16070"/>
    <cellStyle name="常规 2 2 2 2 7 2 3" xfId="16071"/>
    <cellStyle name="常规 2 2 2 2 7 3" xfId="16072"/>
    <cellStyle name="常规 2 2 2 2 7 3 2" xfId="16073"/>
    <cellStyle name="常规 2 2 2 2 7 4" xfId="16074"/>
    <cellStyle name="常规 2 2 2 2 7 4 2" xfId="16075"/>
    <cellStyle name="常规 2 2 2 2 7 5" xfId="16076"/>
    <cellStyle name="常规 2 2 2 2 7 6" xfId="16077"/>
    <cellStyle name="常规 2 2 2 2 7 7" xfId="16078"/>
    <cellStyle name="常规 2 2 2 2 8" xfId="16079"/>
    <cellStyle name="常规 2 2 2 2 8 2" xfId="16080"/>
    <cellStyle name="常规 2 2 2 2 8 3" xfId="16081"/>
    <cellStyle name="常规 2 2 2 2 9" xfId="16082"/>
    <cellStyle name="常规 2 2 2 2 9 2" xfId="16083"/>
    <cellStyle name="常规 2 2 2 3" xfId="16084"/>
    <cellStyle name="常规 2 2 2 3 10" xfId="16085"/>
    <cellStyle name="常规 2 2 2 3 10 2" xfId="16086"/>
    <cellStyle name="常规 2 2 2 3 11" xfId="16087"/>
    <cellStyle name="常规 2 2 2 3 2" xfId="16088"/>
    <cellStyle name="常规 2 2 2 3 2 2" xfId="16089"/>
    <cellStyle name="常规 2 2 2 3 2 2 2" xfId="16090"/>
    <cellStyle name="常规 2 2 2 3 2 2 2 2" xfId="16091"/>
    <cellStyle name="常规 2 2 2 3 2 2 2 2 2" xfId="16092"/>
    <cellStyle name="常规 2 2 2 3 2 2 2 2 3" xfId="16093"/>
    <cellStyle name="常规 2 2 2 3 2 2 2 3" xfId="16094"/>
    <cellStyle name="常规 2 2 2 3 2 2 2 3 2" xfId="16095"/>
    <cellStyle name="常规 2 2 2 3 2 2 2 4" xfId="16096"/>
    <cellStyle name="常规 2 2 2 3 2 2 2 4 2" xfId="16097"/>
    <cellStyle name="常规 2 2 2 3 2 2 2 5" xfId="16098"/>
    <cellStyle name="常规 2 2 2 3 2 2 2 6" xfId="16099"/>
    <cellStyle name="常规 2 2 2 3 2 2 2 7" xfId="16100"/>
    <cellStyle name="常规 2 2 2 3 2 2 3" xfId="16101"/>
    <cellStyle name="常规 2 2 2 3 2 2 3 2" xfId="16102"/>
    <cellStyle name="常规 2 2 2 3 2 2 3 2 2" xfId="16103"/>
    <cellStyle name="常规 2 2 2 3 2 2 3 3" xfId="16104"/>
    <cellStyle name="常规 2 2 2 3 2 2 3 4" xfId="16105"/>
    <cellStyle name="常规 2 2 2 3 2 2 3 5" xfId="16106"/>
    <cellStyle name="常规 2 2 2 3 2 2 4" xfId="16107"/>
    <cellStyle name="常规 2 2 2 3 2 2 4 2" xfId="16108"/>
    <cellStyle name="常规 2 2 2 3 2 2 4 3" xfId="16109"/>
    <cellStyle name="常规 2 2 2 3 2 2 5" xfId="16110"/>
    <cellStyle name="常规 2 2 2 3 2 2 5 2" xfId="16111"/>
    <cellStyle name="常规 2 2 2 3 2 2 6" xfId="16112"/>
    <cellStyle name="常规 2 2 2 3 2 2 6 2" xfId="16113"/>
    <cellStyle name="常规 2 2 2 3 2 2 7" xfId="16114"/>
    <cellStyle name="常规 2 2 2 3 2 2 8" xfId="16115"/>
    <cellStyle name="常规 2 2 2 3 2 3" xfId="16116"/>
    <cellStyle name="常规 2 2 2 3 2 3 2" xfId="16117"/>
    <cellStyle name="常规 2 2 2 3 2 3 2 2" xfId="16118"/>
    <cellStyle name="常规 2 2 2 3 2 3 2 2 2" xfId="16119"/>
    <cellStyle name="常规 2 2 2 3 2 3 2 3" xfId="16120"/>
    <cellStyle name="常规 2 2 2 3 2 3 2 4" xfId="16121"/>
    <cellStyle name="常规 2 2 2 3 2 3 2 5" xfId="16122"/>
    <cellStyle name="常规 2 2 2 3 2 3 3" xfId="16123"/>
    <cellStyle name="常规 2 2 2 3 2 3 3 2" xfId="16124"/>
    <cellStyle name="常规 2 2 2 3 2 3 3 3" xfId="16125"/>
    <cellStyle name="常规 2 2 2 3 2 3 4" xfId="16126"/>
    <cellStyle name="常规 2 2 2 3 2 3 4 2" xfId="16127"/>
    <cellStyle name="常规 2 2 2 3 2 3 5" xfId="16128"/>
    <cellStyle name="常规 2 2 2 3 2 3 5 2" xfId="16129"/>
    <cellStyle name="常规 2 2 2 3 2 3 6" xfId="16130"/>
    <cellStyle name="常规 2 2 2 3 2 3 7" xfId="16131"/>
    <cellStyle name="常规 2 2 2 3 2 4" xfId="16132"/>
    <cellStyle name="常规 2 2 2 3 2 4 2" xfId="16133"/>
    <cellStyle name="常规 2 2 2 3 2 4 2 2" xfId="16134"/>
    <cellStyle name="常规 2 2 2 3 2 4 3" xfId="16135"/>
    <cellStyle name="常规 2 2 2 3 2 4 4" xfId="16136"/>
    <cellStyle name="常规 2 2 2 3 2 4 5" xfId="16137"/>
    <cellStyle name="常规 2 2 2 3 2 5" xfId="16138"/>
    <cellStyle name="常规 2 2 2 3 2 5 2" xfId="16139"/>
    <cellStyle name="常规 2 2 2 3 2 5 2 2" xfId="16140"/>
    <cellStyle name="常规 2 2 2 3 2 5 3" xfId="16141"/>
    <cellStyle name="常规 2 2 2 3 2 5 4" xfId="16142"/>
    <cellStyle name="常规 2 2 2 3 2 5 5" xfId="16143"/>
    <cellStyle name="常规 2 2 2 3 2 6" xfId="16144"/>
    <cellStyle name="常规 2 2 2 3 2 6 2" xfId="16145"/>
    <cellStyle name="常规 2 2 2 3 2 6 3" xfId="16146"/>
    <cellStyle name="常规 2 2 2 3 2 7" xfId="16147"/>
    <cellStyle name="常规 2 2 2 3 2 7 2" xfId="16148"/>
    <cellStyle name="常规 2 2 2 3 2 8" xfId="16149"/>
    <cellStyle name="常规 2 2 2 3 2 8 2" xfId="16150"/>
    <cellStyle name="常规 2 2 2 3 2 9" xfId="16151"/>
    <cellStyle name="常规 2 2 2 3 3" xfId="16152"/>
    <cellStyle name="常规 2 2 2 3 3 2" xfId="16153"/>
    <cellStyle name="常规 2 2 2 3 3 2 2" xfId="16154"/>
    <cellStyle name="常规 2 2 2 3 3 2 2 2" xfId="16155"/>
    <cellStyle name="常规 2 2 2 3 3 2 2 2 2" xfId="16156"/>
    <cellStyle name="常规 2 2 2 3 3 2 2 3" xfId="16157"/>
    <cellStyle name="常规 2 2 2 3 3 2 2 4" xfId="16158"/>
    <cellStyle name="常规 2 2 2 3 3 2 2 5" xfId="16159"/>
    <cellStyle name="常规 2 2 2 3 3 2 3" xfId="16160"/>
    <cellStyle name="常规 2 2 2 3 3 2 3 2" xfId="16161"/>
    <cellStyle name="常规 2 2 2 3 3 2 3 3" xfId="16162"/>
    <cellStyle name="常规 2 2 2 3 3 2 4" xfId="16163"/>
    <cellStyle name="常规 2 2 2 3 3 2 4 2" xfId="16164"/>
    <cellStyle name="常规 2 2 2 3 3 2 5" xfId="16165"/>
    <cellStyle name="常规 2 2 2 3 3 2 5 2" xfId="16166"/>
    <cellStyle name="常规 2 2 2 3 3 2 6" xfId="16167"/>
    <cellStyle name="常规 2 2 2 3 3 2 7" xfId="16168"/>
    <cellStyle name="常规 2 2 2 3 3 3" xfId="16169"/>
    <cellStyle name="常规 2 2 2 3 3 3 2" xfId="16170"/>
    <cellStyle name="常规 2 2 2 3 3 3 2 2" xfId="16171"/>
    <cellStyle name="常规 2 2 2 3 3 3 3" xfId="16172"/>
    <cellStyle name="常规 2 2 2 3 3 3 4" xfId="16173"/>
    <cellStyle name="常规 2 2 2 3 3 3 5" xfId="16174"/>
    <cellStyle name="常规 2 2 2 3 3 4" xfId="16175"/>
    <cellStyle name="常规 2 2 2 3 3 4 2" xfId="16176"/>
    <cellStyle name="常规 2 2 2 3 3 4 3" xfId="16177"/>
    <cellStyle name="常规 2 2 2 3 3 5" xfId="16178"/>
    <cellStyle name="常规 2 2 2 3 3 5 2" xfId="16179"/>
    <cellStyle name="常规 2 2 2 3 3 6" xfId="16180"/>
    <cellStyle name="常规 2 2 2 3 3 6 2" xfId="16181"/>
    <cellStyle name="常规 2 2 2 3 3 7" xfId="16182"/>
    <cellStyle name="常规 2 2 2 3 3 8" xfId="16183"/>
    <cellStyle name="常规 2 2 2 3 4" xfId="16184"/>
    <cellStyle name="常规 2 2 2 3 4 2" xfId="16185"/>
    <cellStyle name="常规 2 2 2 3 4 2 2" xfId="16186"/>
    <cellStyle name="常规 2 2 2 3 4 2 2 2" xfId="16187"/>
    <cellStyle name="常规 2 2 2 3 4 2 2 3" xfId="16188"/>
    <cellStyle name="常规 2 2 2 3 4 2 3" xfId="16189"/>
    <cellStyle name="常规 2 2 2 3 4 2 3 2" xfId="16190"/>
    <cellStyle name="常规 2 2 2 3 4 2 4" xfId="16191"/>
    <cellStyle name="常规 2 2 2 3 4 2 4 2" xfId="16192"/>
    <cellStyle name="常规 2 2 2 3 4 2 5" xfId="16193"/>
    <cellStyle name="常规 2 2 2 3 4 2 6" xfId="16194"/>
    <cellStyle name="常规 2 2 2 3 4 2 7" xfId="16195"/>
    <cellStyle name="常规 2 2 2 3 4 3" xfId="16196"/>
    <cellStyle name="常规 2 2 2 3 4 3 2" xfId="16197"/>
    <cellStyle name="常规 2 2 2 3 4 3 2 2" xfId="16198"/>
    <cellStyle name="常规 2 2 2 3 4 3 3" xfId="16199"/>
    <cellStyle name="常规 2 2 2 3 4 3 4" xfId="16200"/>
    <cellStyle name="常规 2 2 2 3 4 3 5" xfId="16201"/>
    <cellStyle name="常规 2 2 2 3 4 4" xfId="16202"/>
    <cellStyle name="常规 2 2 2 3 4 4 2" xfId="16203"/>
    <cellStyle name="常规 2 2 2 3 4 4 3" xfId="16204"/>
    <cellStyle name="常规 2 2 2 3 4 5" xfId="16205"/>
    <cellStyle name="常规 2 2 2 3 4 5 2" xfId="16206"/>
    <cellStyle name="常规 2 2 2 3 4 6" xfId="16207"/>
    <cellStyle name="常规 2 2 2 3 4 6 2" xfId="16208"/>
    <cellStyle name="常规 2 2 2 3 4 7" xfId="16209"/>
    <cellStyle name="常规 2 2 2 3 4 8" xfId="16210"/>
    <cellStyle name="常规 2 2 2 3 5" xfId="16211"/>
    <cellStyle name="常规 2 2 2 3 5 2" xfId="16212"/>
    <cellStyle name="常规 2 2 2 3 5 2 2" xfId="16213"/>
    <cellStyle name="常规 2 2 2 3 5 2 3" xfId="16214"/>
    <cellStyle name="常规 2 2 2 3 5 3" xfId="16215"/>
    <cellStyle name="常规 2 2 2 3 5 3 2" xfId="16216"/>
    <cellStyle name="常规 2 2 2 3 5 4" xfId="16217"/>
    <cellStyle name="常规 2 2 2 3 5 4 2" xfId="16218"/>
    <cellStyle name="常规 2 2 2 3 5 5" xfId="16219"/>
    <cellStyle name="常规 2 2 2 3 5 6" xfId="16220"/>
    <cellStyle name="常规 2 2 2 3 5 7" xfId="16221"/>
    <cellStyle name="常规 2 2 2 3 6" xfId="16222"/>
    <cellStyle name="常规 2 2 2 3 6 2" xfId="16223"/>
    <cellStyle name="常规 2 2 2 3 6 2 2" xfId="16224"/>
    <cellStyle name="常规 2 2 2 3 6 3" xfId="16225"/>
    <cellStyle name="常规 2 2 2 3 6 4" xfId="16226"/>
    <cellStyle name="常规 2 2 2 3 6 5" xfId="16227"/>
    <cellStyle name="常规 2 2 2 3 7" xfId="16228"/>
    <cellStyle name="常规 2 2 2 3 7 2" xfId="16229"/>
    <cellStyle name="常规 2 2 2 3 7 3" xfId="16230"/>
    <cellStyle name="常规 2 2 2 3 8" xfId="16231"/>
    <cellStyle name="常规 2 2 2 3 8 2" xfId="16232"/>
    <cellStyle name="常规 2 2 2 3 9" xfId="16233"/>
    <cellStyle name="常规 2 2 2 3 9 2" xfId="16234"/>
    <cellStyle name="常规 2 2 2 4" xfId="16235"/>
    <cellStyle name="常规 2 2 2 4 10" xfId="16236"/>
    <cellStyle name="常规 2 2 2 4 11" xfId="16237"/>
    <cellStyle name="常规 2 2 2 4 2" xfId="16238"/>
    <cellStyle name="常规 2 2 2 4 2 2" xfId="16239"/>
    <cellStyle name="常规 2 2 2 4 2 2 2" xfId="16240"/>
    <cellStyle name="常规 2 2 2 4 2 2 2 2" xfId="16241"/>
    <cellStyle name="常规 2 2 2 4 2 2 2 2 2" xfId="16242"/>
    <cellStyle name="常规 2 2 2 4 2 2 2 3" xfId="16243"/>
    <cellStyle name="常规 2 2 2 4 2 2 2 4" xfId="16244"/>
    <cellStyle name="常规 2 2 2 4 2 2 3" xfId="16245"/>
    <cellStyle name="常规 2 2 2 4 2 2 3 2" xfId="16246"/>
    <cellStyle name="常规 2 2 2 4 2 2 3 2 2" xfId="16247"/>
    <cellStyle name="常规 2 2 2 4 2 2 3 3" xfId="16248"/>
    <cellStyle name="常规 2 2 2 4 2 2 3 4" xfId="16249"/>
    <cellStyle name="常规 2 2 2 4 2 2 4" xfId="16250"/>
    <cellStyle name="常规 2 2 2 4 2 2 4 2" xfId="16251"/>
    <cellStyle name="常规 2 2 2 4 2 2 5" xfId="16252"/>
    <cellStyle name="常规 2 2 2 4 2 2 6" xfId="16253"/>
    <cellStyle name="常规 2 2 2 4 2 3" xfId="16254"/>
    <cellStyle name="常规 2 2 2 4 2 3 2" xfId="16255"/>
    <cellStyle name="常规 2 2 2 4 2 3 2 2" xfId="16256"/>
    <cellStyle name="常规 2 2 2 4 2 3 3" xfId="16257"/>
    <cellStyle name="常规 2 2 2 4 2 3 4" xfId="16258"/>
    <cellStyle name="常规 2 2 2 4 2 4" xfId="16259"/>
    <cellStyle name="常规 2 2 2 4 2 4 2" xfId="16260"/>
    <cellStyle name="常规 2 2 2 4 2 4 2 2" xfId="16261"/>
    <cellStyle name="常规 2 2 2 4 2 4 3" xfId="16262"/>
    <cellStyle name="常规 2 2 2 4 2 4 4" xfId="16263"/>
    <cellStyle name="常规 2 2 2 4 2 5" xfId="16264"/>
    <cellStyle name="常规 2 2 2 4 2 5 2" xfId="16265"/>
    <cellStyle name="常规 2 2 2 4 2 6" xfId="16266"/>
    <cellStyle name="常规 2 2 2 4 2 7" xfId="16267"/>
    <cellStyle name="常规 2 2 2 4 2 8" xfId="16268"/>
    <cellStyle name="常规 2 2 2 4 3" xfId="16269"/>
    <cellStyle name="常规 2 2 2 4 3 2" xfId="16270"/>
    <cellStyle name="常规 2 2 2 4 3 2 2" xfId="16271"/>
    <cellStyle name="常规 2 2 2 4 3 2 2 2" xfId="16272"/>
    <cellStyle name="常规 2 2 2 4 3 2 3" xfId="16273"/>
    <cellStyle name="常规 2 2 2 4 3 2 4" xfId="16274"/>
    <cellStyle name="常规 2 2 2 4 3 3" xfId="16275"/>
    <cellStyle name="常规 2 2 2 4 3 3 2" xfId="16276"/>
    <cellStyle name="常规 2 2 2 4 3 3 2 2" xfId="16277"/>
    <cellStyle name="常规 2 2 2 4 3 3 3" xfId="16278"/>
    <cellStyle name="常规 2 2 2 4 3 3 4" xfId="16279"/>
    <cellStyle name="常规 2 2 2 4 3 4" xfId="16280"/>
    <cellStyle name="常规 2 2 2 4 3 4 2" xfId="16281"/>
    <cellStyle name="常规 2 2 2 4 3 5" xfId="16282"/>
    <cellStyle name="常规 2 2 2 4 3 6" xfId="16283"/>
    <cellStyle name="常规 2 2 2 4 4" xfId="16284"/>
    <cellStyle name="常规 2 2 2 4 4 2" xfId="16285"/>
    <cellStyle name="常规 2 2 2 4 4 2 2" xfId="16286"/>
    <cellStyle name="常规 2 2 2 4 4 2 2 2" xfId="16287"/>
    <cellStyle name="常规 2 2 2 4 4 2 3" xfId="16288"/>
    <cellStyle name="常规 2 2 2 4 4 2 4" xfId="16289"/>
    <cellStyle name="常规 2 2 2 4 4 3" xfId="16290"/>
    <cellStyle name="常规 2 2 2 4 4 3 2" xfId="16291"/>
    <cellStyle name="常规 2 2 2 4 4 4" xfId="16292"/>
    <cellStyle name="常规 2 2 2 4 4 5" xfId="16293"/>
    <cellStyle name="常规 2 2 2 4 5" xfId="16294"/>
    <cellStyle name="常规 2 2 2 4 5 2" xfId="16295"/>
    <cellStyle name="常规 2 2 2 4 5 2 2" xfId="16296"/>
    <cellStyle name="常规 2 2 2 4 5 3" xfId="16297"/>
    <cellStyle name="常规 2 2 2 4 5 4" xfId="16298"/>
    <cellStyle name="常规 2 2 2 4 6" xfId="16299"/>
    <cellStyle name="常规 2 2 2 4 6 2" xfId="16300"/>
    <cellStyle name="常规 2 2 2 4 6 2 2" xfId="16301"/>
    <cellStyle name="常规 2 2 2 4 6 3" xfId="16302"/>
    <cellStyle name="常规 2 2 2 4 6 4" xfId="16303"/>
    <cellStyle name="常规 2 2 2 4 7" xfId="16304"/>
    <cellStyle name="常规 2 2 2 4 7 2" xfId="16305"/>
    <cellStyle name="常规 2 2 2 4 8" xfId="16306"/>
    <cellStyle name="常规 2 2 2 4 9" xfId="16307"/>
    <cellStyle name="常规 2 2 2 5" xfId="16308"/>
    <cellStyle name="常规 2 2 2 5 2" xfId="16309"/>
    <cellStyle name="常规 2 2 2 5 2 2" xfId="16310"/>
    <cellStyle name="常规 2 2 2 5 2 2 2" xfId="16311"/>
    <cellStyle name="常规 2 2 2 5 2 2 2 2" xfId="16312"/>
    <cellStyle name="常规 2 2 2 5 2 2 2 2 2" xfId="16313"/>
    <cellStyle name="常规 2 2 2 5 2 2 2 3" xfId="16314"/>
    <cellStyle name="常规 2 2 2 5 2 2 2 4" xfId="16315"/>
    <cellStyle name="常规 2 2 2 5 2 2 3" xfId="16316"/>
    <cellStyle name="常规 2 2 2 5 2 2 3 2" xfId="16317"/>
    <cellStyle name="常规 2 2 2 5 2 2 4" xfId="16318"/>
    <cellStyle name="常规 2 2 2 5 2 2 5" xfId="16319"/>
    <cellStyle name="常规 2 2 2 5 2 3" xfId="16320"/>
    <cellStyle name="常规 2 2 2 5 2 3 2" xfId="16321"/>
    <cellStyle name="常规 2 2 2 5 2 3 2 2" xfId="16322"/>
    <cellStyle name="常规 2 2 2 5 2 3 3" xfId="16323"/>
    <cellStyle name="常规 2 2 2 5 2 3 4" xfId="16324"/>
    <cellStyle name="常规 2 2 2 5 2 4" xfId="16325"/>
    <cellStyle name="常规 2 2 2 5 2 4 2" xfId="16326"/>
    <cellStyle name="常规 2 2 2 5 2 4 2 2" xfId="16327"/>
    <cellStyle name="常规 2 2 2 5 2 4 3" xfId="16328"/>
    <cellStyle name="常规 2 2 2 5 2 4 4" xfId="16329"/>
    <cellStyle name="常规 2 2 2 5 2 5" xfId="16330"/>
    <cellStyle name="常规 2 2 2 5 2 5 2" xfId="16331"/>
    <cellStyle name="常规 2 2 2 5 2 6" xfId="16332"/>
    <cellStyle name="常规 2 2 2 5 2 7" xfId="16333"/>
    <cellStyle name="常规 2 2 2 5 3" xfId="16334"/>
    <cellStyle name="常规 2 2 2 5 3 2" xfId="16335"/>
    <cellStyle name="常规 2 2 2 5 3 2 2" xfId="16336"/>
    <cellStyle name="常规 2 2 2 5 3 2 2 2" xfId="16337"/>
    <cellStyle name="常规 2 2 2 5 3 2 3" xfId="16338"/>
    <cellStyle name="常规 2 2 2 5 3 2 4" xfId="16339"/>
    <cellStyle name="常规 2 2 2 5 3 3" xfId="16340"/>
    <cellStyle name="常规 2 2 2 5 3 3 2" xfId="16341"/>
    <cellStyle name="常规 2 2 2 5 3 4" xfId="16342"/>
    <cellStyle name="常规 2 2 2 5 3 5" xfId="16343"/>
    <cellStyle name="常规 2 2 2 5 4" xfId="16344"/>
    <cellStyle name="常规 2 2 2 5 4 2" xfId="16345"/>
    <cellStyle name="常规 2 2 2 5 4 2 2" xfId="16346"/>
    <cellStyle name="常规 2 2 2 5 4 3" xfId="16347"/>
    <cellStyle name="常规 2 2 2 5 4 4" xfId="16348"/>
    <cellStyle name="常规 2 2 2 5 5" xfId="16349"/>
    <cellStyle name="常规 2 2 2 5 5 2" xfId="16350"/>
    <cellStyle name="常规 2 2 2 5 5 2 2" xfId="16351"/>
    <cellStyle name="常规 2 2 2 5 5 3" xfId="16352"/>
    <cellStyle name="常规 2 2 2 5 5 4" xfId="16353"/>
    <cellStyle name="常规 2 2 2 5 6" xfId="16354"/>
    <cellStyle name="常规 2 2 2 5 6 2" xfId="16355"/>
    <cellStyle name="常规 2 2 2 5 7" xfId="16356"/>
    <cellStyle name="常规 2 2 2 5 8" xfId="16357"/>
    <cellStyle name="常规 2 2 2 5 9" xfId="16358"/>
    <cellStyle name="常规 2 2 2 6" xfId="16359"/>
    <cellStyle name="常规 2 2 2 6 2" xfId="16360"/>
    <cellStyle name="常规 2 2 2 6 2 2" xfId="16361"/>
    <cellStyle name="常规 2 2 2 6 2 2 2" xfId="16362"/>
    <cellStyle name="常规 2 2 2 6 2 2 2 2" xfId="16363"/>
    <cellStyle name="常规 2 2 2 6 2 2 3" xfId="16364"/>
    <cellStyle name="常规 2 2 2 6 2 2 4" xfId="16365"/>
    <cellStyle name="常规 2 2 2 6 2 3" xfId="16366"/>
    <cellStyle name="常规 2 2 2 6 2 3 2" xfId="16367"/>
    <cellStyle name="常规 2 2 2 6 2 4" xfId="16368"/>
    <cellStyle name="常规 2 2 2 6 2 5" xfId="16369"/>
    <cellStyle name="常规 2 2 2 6 3" xfId="16370"/>
    <cellStyle name="常规 2 2 2 6 3 2" xfId="16371"/>
    <cellStyle name="常规 2 2 2 6 3 2 2" xfId="16372"/>
    <cellStyle name="常规 2 2 2 6 3 3" xfId="16373"/>
    <cellStyle name="常规 2 2 2 6 3 4" xfId="16374"/>
    <cellStyle name="常规 2 2 2 6 4" xfId="16375"/>
    <cellStyle name="常规 2 2 2 6 4 2" xfId="16376"/>
    <cellStyle name="常规 2 2 2 6 4 2 2" xfId="16377"/>
    <cellStyle name="常规 2 2 2 6 4 3" xfId="16378"/>
    <cellStyle name="常规 2 2 2 6 4 4" xfId="16379"/>
    <cellStyle name="常规 2 2 2 6 5" xfId="16380"/>
    <cellStyle name="常规 2 2 2 6 5 2" xfId="16381"/>
    <cellStyle name="常规 2 2 2 6 6" xfId="16382"/>
    <cellStyle name="常规 2 2 2 6 7" xfId="16383"/>
    <cellStyle name="常规 2 2 2 6 8" xfId="16384"/>
    <cellStyle name="常规 2 2 2 7" xfId="16385"/>
    <cellStyle name="常规 2 2 2 7 2" xfId="16386"/>
    <cellStyle name="常规 2 2 2 7 2 2" xfId="16387"/>
    <cellStyle name="常规 2 2 2 7 2 2 2" xfId="16388"/>
    <cellStyle name="常规 2 2 2 7 2 3" xfId="16389"/>
    <cellStyle name="常规 2 2 2 7 2 4" xfId="16390"/>
    <cellStyle name="常规 2 2 2 7 2 5" xfId="16391"/>
    <cellStyle name="常规 2 2 2 7 3" xfId="16392"/>
    <cellStyle name="常规 2 2 2 7 3 2" xfId="16393"/>
    <cellStyle name="常规 2 2 2 7 3 3" xfId="16394"/>
    <cellStyle name="常规 2 2 2 7 4" xfId="16395"/>
    <cellStyle name="常规 2 2 2 7 4 2" xfId="16396"/>
    <cellStyle name="常规 2 2 2 7 5" xfId="16397"/>
    <cellStyle name="常规 2 2 2 7 5 2" xfId="16398"/>
    <cellStyle name="常规 2 2 2 7 6" xfId="16399"/>
    <cellStyle name="常规 2 2 2 7 7" xfId="16400"/>
    <cellStyle name="常规 2 2 2 8" xfId="16401"/>
    <cellStyle name="常规 2 2 2 8 2" xfId="16402"/>
    <cellStyle name="常规 2 2 2 8 2 2" xfId="16403"/>
    <cellStyle name="常规 2 2 2 8 2 2 2" xfId="16404"/>
    <cellStyle name="常规 2 2 2 8 2 3" xfId="16405"/>
    <cellStyle name="常规 2 2 2 8 2 4" xfId="16406"/>
    <cellStyle name="常规 2 2 2 8 3" xfId="16407"/>
    <cellStyle name="常规 2 2 2 8 3 2" xfId="16408"/>
    <cellStyle name="常规 2 2 2 8 4" xfId="16409"/>
    <cellStyle name="常规 2 2 2 8 5" xfId="16410"/>
    <cellStyle name="常规 2 2 2 8 6" xfId="16411"/>
    <cellStyle name="常规 2 2 2 9" xfId="16412"/>
    <cellStyle name="常规 2 2 2 9 2" xfId="16413"/>
    <cellStyle name="常规 2 2 2 9 2 2" xfId="16414"/>
    <cellStyle name="常规 2 2 2 9 3" xfId="16415"/>
    <cellStyle name="常规 2 2 2 9 4" xfId="16416"/>
    <cellStyle name="常规 2 2 2 9 5" xfId="16417"/>
    <cellStyle name="常规 2 2 21" xfId="16418"/>
    <cellStyle name="常规 2 2 3" xfId="16419"/>
    <cellStyle name="常规 2 2 3 10" xfId="16420"/>
    <cellStyle name="常规 2 2 3 10 2" xfId="16421"/>
    <cellStyle name="常规 2 2 3 11" xfId="16422"/>
    <cellStyle name="常规 2 2 3 11 2" xfId="16423"/>
    <cellStyle name="常规 2 2 3 12" xfId="16424"/>
    <cellStyle name="常规 2 2 3 13" xfId="16425"/>
    <cellStyle name="常规 2 2 3 2" xfId="16426"/>
    <cellStyle name="常规 2 2 3 2 10" xfId="16427"/>
    <cellStyle name="常规 2 2 3 2 2" xfId="16428"/>
    <cellStyle name="常规 2 2 3 2 2 2" xfId="16429"/>
    <cellStyle name="常规 2 2 3 2 2 2 2" xfId="16430"/>
    <cellStyle name="常规 2 2 3 2 2 2 2 2" xfId="16431"/>
    <cellStyle name="常规 2 2 3 2 2 2 2 2 2" xfId="16432"/>
    <cellStyle name="常规 2 2 3 2 2 2 2 3" xfId="16433"/>
    <cellStyle name="常规 2 2 3 2 2 2 2 4" xfId="16434"/>
    <cellStyle name="常规 2 2 3 2 2 2 3" xfId="16435"/>
    <cellStyle name="常规 2 2 3 2 2 2 3 2" xfId="16436"/>
    <cellStyle name="常规 2 2 3 2 2 2 3 2 2" xfId="16437"/>
    <cellStyle name="常规 2 2 3 2 2 2 3 3" xfId="16438"/>
    <cellStyle name="常规 2 2 3 2 2 2 3 4" xfId="16439"/>
    <cellStyle name="常规 2 2 3 2 2 2 4" xfId="16440"/>
    <cellStyle name="常规 2 2 3 2 2 2 4 2" xfId="16441"/>
    <cellStyle name="常规 2 2 3 2 2 2 5" xfId="16442"/>
    <cellStyle name="常规 2 2 3 2 2 2 6" xfId="16443"/>
    <cellStyle name="常规 2 2 3 2 2 2 7" xfId="16444"/>
    <cellStyle name="常规 2 2 3 2 2 3" xfId="16445"/>
    <cellStyle name="常规 2 2 3 2 2 3 2" xfId="16446"/>
    <cellStyle name="常规 2 2 3 2 2 3 2 2" xfId="16447"/>
    <cellStyle name="常规 2 2 3 2 2 3 2 2 2" xfId="16448"/>
    <cellStyle name="常规 2 2 3 2 2 3 2 3" xfId="16449"/>
    <cellStyle name="常规 2 2 3 2 2 3 2 4" xfId="16450"/>
    <cellStyle name="常规 2 2 3 2 2 3 2 5" xfId="16451"/>
    <cellStyle name="常规 2 2 3 2 2 3 3" xfId="16452"/>
    <cellStyle name="常规 2 2 3 2 2 3 3 2" xfId="16453"/>
    <cellStyle name="常规 2 2 3 2 2 3 3 3" xfId="16454"/>
    <cellStyle name="常规 2 2 3 2 2 3 4" xfId="16455"/>
    <cellStyle name="常规 2 2 3 2 2 3 4 2" xfId="16456"/>
    <cellStyle name="常规 2 2 3 2 2 3 5" xfId="16457"/>
    <cellStyle name="常规 2 2 3 2 2 3 5 2" xfId="16458"/>
    <cellStyle name="常规 2 2 3 2 2 3 6" xfId="16459"/>
    <cellStyle name="常规 2 2 3 2 2 3 7" xfId="16460"/>
    <cellStyle name="常规 2 2 3 2 2 4" xfId="16461"/>
    <cellStyle name="常规 2 2 3 2 2 4 2" xfId="16462"/>
    <cellStyle name="常规 2 2 3 2 2 4 2 2" xfId="16463"/>
    <cellStyle name="常规 2 2 3 2 2 4 3" xfId="16464"/>
    <cellStyle name="常规 2 2 3 2 2 4 4" xfId="16465"/>
    <cellStyle name="常规 2 2 3 2 2 4 5" xfId="16466"/>
    <cellStyle name="常规 2 2 3 2 2 5" xfId="16467"/>
    <cellStyle name="常规 2 2 3 2 2 5 2" xfId="16468"/>
    <cellStyle name="常规 2 2 3 2 2 5 2 2" xfId="16469"/>
    <cellStyle name="常规 2 2 3 2 2 5 3" xfId="16470"/>
    <cellStyle name="常规 2 2 3 2 2 5 4" xfId="16471"/>
    <cellStyle name="常规 2 2 3 2 2 5 5" xfId="16472"/>
    <cellStyle name="常规 2 2 3 2 2 6" xfId="16473"/>
    <cellStyle name="常规 2 2 3 2 2 6 2" xfId="16474"/>
    <cellStyle name="常规 2 2 3 2 2 6 3" xfId="16475"/>
    <cellStyle name="常规 2 2 3 2 2 7" xfId="16476"/>
    <cellStyle name="常规 2 2 3 2 2 7 2" xfId="16477"/>
    <cellStyle name="常规 2 2 3 2 2 8" xfId="16478"/>
    <cellStyle name="常规 2 2 3 2 2 8 2" xfId="16479"/>
    <cellStyle name="常规 2 2 3 2 2 9" xfId="16480"/>
    <cellStyle name="常规 2 2 3 2 3" xfId="16481"/>
    <cellStyle name="常规 2 2 3 2 3 2" xfId="16482"/>
    <cellStyle name="常规 2 2 3 2 3 2 2" xfId="16483"/>
    <cellStyle name="常规 2 2 3 2 3 2 2 2" xfId="16484"/>
    <cellStyle name="常规 2 2 3 2 3 2 2 2 2" xfId="16485"/>
    <cellStyle name="常规 2 2 3 2 3 2 2 3" xfId="16486"/>
    <cellStyle name="常规 2 2 3 2 3 2 2 4" xfId="16487"/>
    <cellStyle name="常规 2 2 3 2 3 2 2 5" xfId="16488"/>
    <cellStyle name="常规 2 2 3 2 3 2 3" xfId="16489"/>
    <cellStyle name="常规 2 2 3 2 3 2 3 2" xfId="16490"/>
    <cellStyle name="常规 2 2 3 2 3 2 3 3" xfId="16491"/>
    <cellStyle name="常规 2 2 3 2 3 2 4" xfId="16492"/>
    <cellStyle name="常规 2 2 3 2 3 2 4 2" xfId="16493"/>
    <cellStyle name="常规 2 2 3 2 3 2 5" xfId="16494"/>
    <cellStyle name="常规 2 2 3 2 3 2 5 2" xfId="16495"/>
    <cellStyle name="常规 2 2 3 2 3 2 6" xfId="16496"/>
    <cellStyle name="常规 2 2 3 2 3 2 7" xfId="16497"/>
    <cellStyle name="常规 2 2 3 2 3 3" xfId="16498"/>
    <cellStyle name="常规 2 2 3 2 3 3 2" xfId="16499"/>
    <cellStyle name="常规 2 2 3 2 3 3 2 2" xfId="16500"/>
    <cellStyle name="常规 2 2 3 2 3 3 3" xfId="16501"/>
    <cellStyle name="常规 2 2 3 2 3 3 4" xfId="16502"/>
    <cellStyle name="常规 2 2 3 2 3 3 5" xfId="16503"/>
    <cellStyle name="常规 2 2 3 2 3 4" xfId="16504"/>
    <cellStyle name="常规 2 2 3 2 3 4 2" xfId="16505"/>
    <cellStyle name="常规 2 2 3 2 3 4 3" xfId="16506"/>
    <cellStyle name="常规 2 2 3 2 3 5" xfId="16507"/>
    <cellStyle name="常规 2 2 3 2 3 5 2" xfId="16508"/>
    <cellStyle name="常规 2 2 3 2 3 6" xfId="16509"/>
    <cellStyle name="常规 2 2 3 2 3 6 2" xfId="16510"/>
    <cellStyle name="常规 2 2 3 2 3 7" xfId="16511"/>
    <cellStyle name="常规 2 2 3 2 3 8" xfId="16512"/>
    <cellStyle name="常规 2 2 3 2 4" xfId="16513"/>
    <cellStyle name="常规 2 2 3 2 4 2" xfId="16514"/>
    <cellStyle name="常规 2 2 3 2 4 2 2" xfId="16515"/>
    <cellStyle name="常规 2 2 3 2 4 2 2 2" xfId="16516"/>
    <cellStyle name="常规 2 2 3 2 4 2 3" xfId="16517"/>
    <cellStyle name="常规 2 2 3 2 4 2 4" xfId="16518"/>
    <cellStyle name="常规 2 2 3 2 4 2 5" xfId="16519"/>
    <cellStyle name="常规 2 2 3 2 4 3" xfId="16520"/>
    <cellStyle name="常规 2 2 3 2 4 3 2" xfId="16521"/>
    <cellStyle name="常规 2 2 3 2 4 3 2 2" xfId="16522"/>
    <cellStyle name="常规 2 2 3 2 4 3 3" xfId="16523"/>
    <cellStyle name="常规 2 2 3 2 4 3 4" xfId="16524"/>
    <cellStyle name="常规 2 2 3 2 4 3 5" xfId="16525"/>
    <cellStyle name="常规 2 2 3 2 4 4" xfId="16526"/>
    <cellStyle name="常规 2 2 3 2 4 4 2" xfId="16527"/>
    <cellStyle name="常规 2 2 3 2 4 4 3" xfId="16528"/>
    <cellStyle name="常规 2 2 3 2 4 5" xfId="16529"/>
    <cellStyle name="常规 2 2 3 2 4 5 2" xfId="16530"/>
    <cellStyle name="常规 2 2 3 2 4 6" xfId="16531"/>
    <cellStyle name="常规 2 2 3 2 4 6 2" xfId="16532"/>
    <cellStyle name="常规 2 2 3 2 4 7" xfId="16533"/>
    <cellStyle name="常规 2 2 3 2 5" xfId="16534"/>
    <cellStyle name="常规 2 2 3 2 5 2" xfId="16535"/>
    <cellStyle name="常规 2 2 3 2 5 2 2" xfId="16536"/>
    <cellStyle name="常规 2 2 3 2 5 3" xfId="16537"/>
    <cellStyle name="常规 2 2 3 2 5 4" xfId="16538"/>
    <cellStyle name="常规 2 2 3 2 5 5" xfId="16539"/>
    <cellStyle name="常规 2 2 3 2 6" xfId="16540"/>
    <cellStyle name="常规 2 2 3 2 6 2" xfId="16541"/>
    <cellStyle name="常规 2 2 3 2 6 2 2" xfId="16542"/>
    <cellStyle name="常规 2 2 3 2 6 3" xfId="16543"/>
    <cellStyle name="常规 2 2 3 2 6 4" xfId="16544"/>
    <cellStyle name="常规 2 2 3 2 6 5" xfId="16545"/>
    <cellStyle name="常规 2 2 3 2 7" xfId="16546"/>
    <cellStyle name="常规 2 2 3 2 7 2" xfId="16547"/>
    <cellStyle name="常规 2 2 3 2 7 3" xfId="16548"/>
    <cellStyle name="常规 2 2 3 2 8" xfId="16549"/>
    <cellStyle name="常规 2 2 3 2 8 2" xfId="16550"/>
    <cellStyle name="常规 2 2 3 2 9" xfId="16551"/>
    <cellStyle name="常规 2 2 3 2 9 2" xfId="16552"/>
    <cellStyle name="常规 2 2 3 3" xfId="16553"/>
    <cellStyle name="常规 2 2 3 3 10" xfId="16554"/>
    <cellStyle name="常规 2 2 3 3 2" xfId="16555"/>
    <cellStyle name="常规 2 2 3 3 2 2" xfId="16556"/>
    <cellStyle name="常规 2 2 3 3 2 2 2" xfId="16557"/>
    <cellStyle name="常规 2 2 3 3 2 2 2 2" xfId="16558"/>
    <cellStyle name="常规 2 2 3 3 2 2 2 2 2" xfId="16559"/>
    <cellStyle name="常规 2 2 3 3 2 2 2 3" xfId="16560"/>
    <cellStyle name="常规 2 2 3 3 2 2 2 4" xfId="16561"/>
    <cellStyle name="常规 2 2 3 3 2 2 2 5" xfId="16562"/>
    <cellStyle name="常规 2 2 3 3 2 2 3" xfId="16563"/>
    <cellStyle name="常规 2 2 3 3 2 2 3 2" xfId="16564"/>
    <cellStyle name="常规 2 2 3 3 2 2 3 3" xfId="16565"/>
    <cellStyle name="常规 2 2 3 3 2 2 4" xfId="16566"/>
    <cellStyle name="常规 2 2 3 3 2 2 4 2" xfId="16567"/>
    <cellStyle name="常规 2 2 3 3 2 2 5" xfId="16568"/>
    <cellStyle name="常规 2 2 3 3 2 2 5 2" xfId="16569"/>
    <cellStyle name="常规 2 2 3 3 2 2 6" xfId="16570"/>
    <cellStyle name="常规 2 2 3 3 2 2 7" xfId="16571"/>
    <cellStyle name="常规 2 2 3 3 2 3" xfId="16572"/>
    <cellStyle name="常规 2 2 3 3 2 3 2" xfId="16573"/>
    <cellStyle name="常规 2 2 3 3 2 3 2 2" xfId="16574"/>
    <cellStyle name="常规 2 2 3 3 2 3 3" xfId="16575"/>
    <cellStyle name="常规 2 2 3 3 2 3 4" xfId="16576"/>
    <cellStyle name="常规 2 2 3 3 2 3 5" xfId="16577"/>
    <cellStyle name="常规 2 2 3 3 2 4" xfId="16578"/>
    <cellStyle name="常规 2 2 3 3 2 4 2" xfId="16579"/>
    <cellStyle name="常规 2 2 3 3 2 4 3" xfId="16580"/>
    <cellStyle name="常规 2 2 3 3 2 5" xfId="16581"/>
    <cellStyle name="常规 2 2 3 3 2 5 2" xfId="16582"/>
    <cellStyle name="常规 2 2 3 3 2 6" xfId="16583"/>
    <cellStyle name="常规 2 2 3 3 2 6 2" xfId="16584"/>
    <cellStyle name="常规 2 2 3 3 2 7" xfId="16585"/>
    <cellStyle name="常规 2 2 3 3 2 8" xfId="16586"/>
    <cellStyle name="常规 2 2 3 3 3" xfId="16587"/>
    <cellStyle name="常规 2 2 3 3 3 2" xfId="16588"/>
    <cellStyle name="常规 2 2 3 3 3 2 2" xfId="16589"/>
    <cellStyle name="常规 2 2 3 3 3 2 2 2" xfId="16590"/>
    <cellStyle name="常规 2 2 3 3 3 2 2 3" xfId="16591"/>
    <cellStyle name="常规 2 2 3 3 3 2 3" xfId="16592"/>
    <cellStyle name="常规 2 2 3 3 3 2 3 2" xfId="16593"/>
    <cellStyle name="常规 2 2 3 3 3 2 4" xfId="16594"/>
    <cellStyle name="常规 2 2 3 3 3 2 4 2" xfId="16595"/>
    <cellStyle name="常规 2 2 3 3 3 2 5" xfId="16596"/>
    <cellStyle name="常规 2 2 3 3 3 2 6" xfId="16597"/>
    <cellStyle name="常规 2 2 3 3 3 2 7" xfId="16598"/>
    <cellStyle name="常规 2 2 3 3 3 3" xfId="16599"/>
    <cellStyle name="常规 2 2 3 3 3 3 2" xfId="16600"/>
    <cellStyle name="常规 2 2 3 3 3 3 2 2" xfId="16601"/>
    <cellStyle name="常规 2 2 3 3 3 3 3" xfId="16602"/>
    <cellStyle name="常规 2 2 3 3 3 3 4" xfId="16603"/>
    <cellStyle name="常规 2 2 3 3 3 3 5" xfId="16604"/>
    <cellStyle name="常规 2 2 3 3 3 4" xfId="16605"/>
    <cellStyle name="常规 2 2 3 3 3 4 2" xfId="16606"/>
    <cellStyle name="常规 2 2 3 3 3 4 3" xfId="16607"/>
    <cellStyle name="常规 2 2 3 3 3 5" xfId="16608"/>
    <cellStyle name="常规 2 2 3 3 3 5 2" xfId="16609"/>
    <cellStyle name="常规 2 2 3 3 3 6" xfId="16610"/>
    <cellStyle name="常规 2 2 3 3 3 6 2" xfId="16611"/>
    <cellStyle name="常规 2 2 3 3 3 7" xfId="16612"/>
    <cellStyle name="常规 2 2 3 3 3 8" xfId="16613"/>
    <cellStyle name="常规 2 2 3 3 4" xfId="16614"/>
    <cellStyle name="常规 2 2 3 3 4 2" xfId="16615"/>
    <cellStyle name="常规 2 2 3 3 4 2 2" xfId="16616"/>
    <cellStyle name="常规 2 2 3 3 4 2 3" xfId="16617"/>
    <cellStyle name="常规 2 2 3 3 4 3" xfId="16618"/>
    <cellStyle name="常规 2 2 3 3 4 3 2" xfId="16619"/>
    <cellStyle name="常规 2 2 3 3 4 4" xfId="16620"/>
    <cellStyle name="常规 2 2 3 3 4 4 2" xfId="16621"/>
    <cellStyle name="常规 2 2 3 3 4 5" xfId="16622"/>
    <cellStyle name="常规 2 2 3 3 4 6" xfId="16623"/>
    <cellStyle name="常规 2 2 3 3 4 7" xfId="16624"/>
    <cellStyle name="常规 2 2 3 3 5" xfId="16625"/>
    <cellStyle name="常规 2 2 3 3 5 2" xfId="16626"/>
    <cellStyle name="常规 2 2 3 3 5 2 2" xfId="16627"/>
    <cellStyle name="常规 2 2 3 3 5 3" xfId="16628"/>
    <cellStyle name="常规 2 2 3 3 5 4" xfId="16629"/>
    <cellStyle name="常规 2 2 3 3 5 5" xfId="16630"/>
    <cellStyle name="常规 2 2 3 3 6" xfId="16631"/>
    <cellStyle name="常规 2 2 3 3 6 2" xfId="16632"/>
    <cellStyle name="常规 2 2 3 3 6 3" xfId="16633"/>
    <cellStyle name="常规 2 2 3 3 7" xfId="16634"/>
    <cellStyle name="常规 2 2 3 3 7 2" xfId="16635"/>
    <cellStyle name="常规 2 2 3 3 8" xfId="16636"/>
    <cellStyle name="常规 2 2 3 3 8 2" xfId="16637"/>
    <cellStyle name="常规 2 2 3 3 9" xfId="16638"/>
    <cellStyle name="常规 2 2 3 3 9 2" xfId="16639"/>
    <cellStyle name="常规 2 2 3 4" xfId="16640"/>
    <cellStyle name="常规 2 2 3 4 2" xfId="16641"/>
    <cellStyle name="常规 2 2 3 4 2 2" xfId="16642"/>
    <cellStyle name="常规 2 2 3 4 2 2 2" xfId="16643"/>
    <cellStyle name="常规 2 2 3 4 2 2 2 2" xfId="16644"/>
    <cellStyle name="常规 2 2 3 4 2 2 2 3" xfId="16645"/>
    <cellStyle name="常规 2 2 3 4 2 2 3" xfId="16646"/>
    <cellStyle name="常规 2 2 3 4 2 2 3 2" xfId="16647"/>
    <cellStyle name="常规 2 2 3 4 2 2 4" xfId="16648"/>
    <cellStyle name="常规 2 2 3 4 2 2 4 2" xfId="16649"/>
    <cellStyle name="常规 2 2 3 4 2 2 5" xfId="16650"/>
    <cellStyle name="常规 2 2 3 4 2 2 6" xfId="16651"/>
    <cellStyle name="常规 2 2 3 4 2 2 7" xfId="16652"/>
    <cellStyle name="常规 2 2 3 4 2 3" xfId="16653"/>
    <cellStyle name="常规 2 2 3 4 2 3 2" xfId="16654"/>
    <cellStyle name="常规 2 2 3 4 2 3 3" xfId="16655"/>
    <cellStyle name="常规 2 2 3 4 2 4" xfId="16656"/>
    <cellStyle name="常规 2 2 3 4 2 4 2" xfId="16657"/>
    <cellStyle name="常规 2 2 3 4 2 5" xfId="16658"/>
    <cellStyle name="常规 2 2 3 4 2 5 2" xfId="16659"/>
    <cellStyle name="常规 2 2 3 4 2 6" xfId="16660"/>
    <cellStyle name="常规 2 2 3 4 2 7" xfId="16661"/>
    <cellStyle name="常规 2 2 3 4 2 8" xfId="16662"/>
    <cellStyle name="常规 2 2 3 4 3" xfId="16663"/>
    <cellStyle name="常规 2 2 3 4 3 2" xfId="16664"/>
    <cellStyle name="常规 2 2 3 4 3 2 2" xfId="16665"/>
    <cellStyle name="常规 2 2 3 4 3 2 3" xfId="16666"/>
    <cellStyle name="常规 2 2 3 4 3 2 4" xfId="16667"/>
    <cellStyle name="常规 2 2 3 4 3 2 5" xfId="16668"/>
    <cellStyle name="常规 2 2 3 4 3 2 6" xfId="16669"/>
    <cellStyle name="常规 2 2 3 4 3 2 7" xfId="16670"/>
    <cellStyle name="常规 2 2 3 4 3 2 8" xfId="16671"/>
    <cellStyle name="常规 2 2 3 4 3 3" xfId="16672"/>
    <cellStyle name="常规 2 2 3 4 3 3 2" xfId="16673"/>
    <cellStyle name="常规 2 2 3 4 3 4" xfId="16674"/>
    <cellStyle name="常规 2 2 3 4 3 4 2" xfId="16675"/>
    <cellStyle name="常规 2 2 3 4 3 5" xfId="16676"/>
    <cellStyle name="常规 2 2 3 4 3 6" xfId="16677"/>
    <cellStyle name="常规 2 2 3 4 3 7" xfId="16678"/>
    <cellStyle name="常规 2 2 3 4 3 8" xfId="16679"/>
    <cellStyle name="常规 2 2 3 4 4" xfId="16680"/>
    <cellStyle name="常规 2 2 3 4 4 2" xfId="16681"/>
    <cellStyle name="常规 2 2 3 4 5" xfId="16682"/>
    <cellStyle name="常规 2 2 3 4 6" xfId="16683"/>
    <cellStyle name="常规 2 2 3 4 7" xfId="16684"/>
    <cellStyle name="常规 2 2 3 5" xfId="16685"/>
    <cellStyle name="常规 2 2 3 5 2" xfId="16686"/>
    <cellStyle name="常规 2 2 3 5 2 2" xfId="16687"/>
    <cellStyle name="常规 2 2 3 5 2 2 2" xfId="16688"/>
    <cellStyle name="常规 2 2 3 5 2 3" xfId="16689"/>
    <cellStyle name="常规 2 2 3 5 2 4" xfId="16690"/>
    <cellStyle name="常规 2 2 3 5 3" xfId="16691"/>
    <cellStyle name="常规 2 2 3 5 3 2" xfId="16692"/>
    <cellStyle name="常规 2 2 3 5 3 2 2" xfId="16693"/>
    <cellStyle name="常规 2 2 3 5 3 3" xfId="16694"/>
    <cellStyle name="常规 2 2 3 5 3 4" xfId="16695"/>
    <cellStyle name="常规 2 2 3 5 4" xfId="16696"/>
    <cellStyle name="常规 2 2 3 5 4 2" xfId="16697"/>
    <cellStyle name="常规 2 2 3 5 5" xfId="16698"/>
    <cellStyle name="常规 2 2 3 5 6" xfId="16699"/>
    <cellStyle name="常规 2 2 3 5 7" xfId="16700"/>
    <cellStyle name="常规 2 2 3 6" xfId="16701"/>
    <cellStyle name="常规 2 2 3 6 2" xfId="16702"/>
    <cellStyle name="常规 2 2 3 6 2 2" xfId="16703"/>
    <cellStyle name="常规 2 2 3 6 3" xfId="16704"/>
    <cellStyle name="常规 2 2 3 6 4" xfId="16705"/>
    <cellStyle name="常规 2 2 3 6 5" xfId="16706"/>
    <cellStyle name="常规 2 2 3 7" xfId="16707"/>
    <cellStyle name="常规 2 2 3 7 2" xfId="16708"/>
    <cellStyle name="常规 2 2 3 7 2 2" xfId="16709"/>
    <cellStyle name="常规 2 2 3 7 2 3" xfId="16710"/>
    <cellStyle name="常规 2 2 3 7 3" xfId="16711"/>
    <cellStyle name="常规 2 2 3 7 3 2" xfId="16712"/>
    <cellStyle name="常规 2 2 3 7 4" xfId="16713"/>
    <cellStyle name="常规 2 2 3 7 4 2" xfId="16714"/>
    <cellStyle name="常规 2 2 3 7 5" xfId="16715"/>
    <cellStyle name="常规 2 2 3 7 6" xfId="16716"/>
    <cellStyle name="常规 2 2 3 7 7" xfId="16717"/>
    <cellStyle name="常规 2 2 3 8" xfId="16718"/>
    <cellStyle name="常规 2 2 3 8 2" xfId="16719"/>
    <cellStyle name="常规 2 2 3 8 3" xfId="16720"/>
    <cellStyle name="常规 2 2 3 9" xfId="16721"/>
    <cellStyle name="常规 2 2 3 9 2" xfId="16722"/>
    <cellStyle name="常规 2 2 4" xfId="16723"/>
    <cellStyle name="常规 2 2 4 2" xfId="16724"/>
    <cellStyle name="常规 2 2 4 2 10" xfId="16725"/>
    <cellStyle name="常规 2 2 4 2 2" xfId="16726"/>
    <cellStyle name="常规 2 2 4 2 2 2" xfId="16727"/>
    <cellStyle name="常规 2 2 4 2 2 2 2" xfId="16728"/>
    <cellStyle name="常规 2 2 4 2 2 2 2 2" xfId="16729"/>
    <cellStyle name="常规 2 2 4 2 2 2 2 2 2" xfId="16730"/>
    <cellStyle name="常规 2 2 4 2 2 2 2 3" xfId="16731"/>
    <cellStyle name="常规 2 2 4 2 2 2 2 4" xfId="16732"/>
    <cellStyle name="常规 2 2 4 2 2 2 3" xfId="16733"/>
    <cellStyle name="常规 2 2 4 2 2 2 3 2" xfId="16734"/>
    <cellStyle name="常规 2 2 4 2 2 2 4" xfId="16735"/>
    <cellStyle name="常规 2 2 4 2 2 2 5" xfId="16736"/>
    <cellStyle name="常规 2 2 4 2 2 3" xfId="16737"/>
    <cellStyle name="常规 2 2 4 2 2 3 2" xfId="16738"/>
    <cellStyle name="常规 2 2 4 2 2 3 2 2" xfId="16739"/>
    <cellStyle name="常规 2 2 4 2 2 3 3" xfId="16740"/>
    <cellStyle name="常规 2 2 4 2 2 3 4" xfId="16741"/>
    <cellStyle name="常规 2 2 4 2 2 4" xfId="16742"/>
    <cellStyle name="常规 2 2 4 2 2 4 2" xfId="16743"/>
    <cellStyle name="常规 2 2 4 2 2 5" xfId="16744"/>
    <cellStyle name="常规 2 2 4 2 2 6" xfId="16745"/>
    <cellStyle name="常规 2 2 4 2 3" xfId="16746"/>
    <cellStyle name="常规 2 2 4 2 3 2" xfId="16747"/>
    <cellStyle name="常规 2 2 4 2 3 2 2" xfId="16748"/>
    <cellStyle name="常规 2 2 4 2 3 2 2 2" xfId="16749"/>
    <cellStyle name="常规 2 2 4 2 3 2 2 2 2" xfId="16750"/>
    <cellStyle name="常规 2 2 4 2 3 2 2 3" xfId="16751"/>
    <cellStyle name="常规 2 2 4 2 3 2 2 4" xfId="16752"/>
    <cellStyle name="常规 2 2 4 2 3 2 3" xfId="16753"/>
    <cellStyle name="常规 2 2 4 2 3 2 3 2" xfId="16754"/>
    <cellStyle name="常规 2 2 4 2 3 2 4" xfId="16755"/>
    <cellStyle name="常规 2 2 4 2 3 2 5" xfId="16756"/>
    <cellStyle name="常规 2 2 4 2 3 3" xfId="16757"/>
    <cellStyle name="常规 2 2 4 2 3 3 2" xfId="16758"/>
    <cellStyle name="常规 2 2 4 2 3 3 2 2" xfId="16759"/>
    <cellStyle name="常规 2 2 4 2 3 3 3" xfId="16760"/>
    <cellStyle name="常规 2 2 4 2 3 3 4" xfId="16761"/>
    <cellStyle name="常规 2 2 4 2 3 4" xfId="16762"/>
    <cellStyle name="常规 2 2 4 2 3 4 2" xfId="16763"/>
    <cellStyle name="常规 2 2 4 2 3 5" xfId="16764"/>
    <cellStyle name="常规 2 2 4 2 3 6" xfId="16765"/>
    <cellStyle name="常规 2 2 4 2 4" xfId="16766"/>
    <cellStyle name="常规 2 2 4 2 4 2" xfId="16767"/>
    <cellStyle name="常规 2 2 4 2 4 2 2" xfId="16768"/>
    <cellStyle name="常规 2 2 4 2 4 2 2 2" xfId="16769"/>
    <cellStyle name="常规 2 2 4 2 4 2 3" xfId="16770"/>
    <cellStyle name="常规 2 2 4 2 4 2 4" xfId="16771"/>
    <cellStyle name="常规 2 2 4 2 4 3" xfId="16772"/>
    <cellStyle name="常规 2 2 4 2 4 3 2" xfId="16773"/>
    <cellStyle name="常规 2 2 4 2 4 3 2 2" xfId="16774"/>
    <cellStyle name="常规 2 2 4 2 4 3 3" xfId="16775"/>
    <cellStyle name="常规 2 2 4 2 4 3 4" xfId="16776"/>
    <cellStyle name="常规 2 2 4 2 4 4" xfId="16777"/>
    <cellStyle name="常规 2 2 4 2 4 4 2" xfId="16778"/>
    <cellStyle name="常规 2 2 4 2 4 5" xfId="16779"/>
    <cellStyle name="常规 2 2 4 2 4 6" xfId="16780"/>
    <cellStyle name="常规 2 2 4 2 5" xfId="16781"/>
    <cellStyle name="常规 2 2 4 2 5 2" xfId="16782"/>
    <cellStyle name="常规 2 2 4 2 5 2 2" xfId="16783"/>
    <cellStyle name="常规 2 2 4 2 5 3" xfId="16784"/>
    <cellStyle name="常规 2 2 4 2 5 4" xfId="16785"/>
    <cellStyle name="常规 2 2 4 2 6" xfId="16786"/>
    <cellStyle name="常规 2 2 4 2 6 2" xfId="16787"/>
    <cellStyle name="常规 2 2 4 2 6 2 2" xfId="16788"/>
    <cellStyle name="常规 2 2 4 2 6 3" xfId="16789"/>
    <cellStyle name="常规 2 2 4 2 6 4" xfId="16790"/>
    <cellStyle name="常规 2 2 4 2 7" xfId="16791"/>
    <cellStyle name="常规 2 2 4 2 7 2" xfId="16792"/>
    <cellStyle name="常规 2 2 4 2 8" xfId="16793"/>
    <cellStyle name="常规 2 2 4 2 9" xfId="16794"/>
    <cellStyle name="常规 2 2 4 3" xfId="16795"/>
    <cellStyle name="常规 2 2 4 3 2" xfId="16796"/>
    <cellStyle name="常规 2 2 4 3 2 2" xfId="16797"/>
    <cellStyle name="常规 2 2 4 3 2 2 2" xfId="16798"/>
    <cellStyle name="常规 2 2 4 3 2 3" xfId="16799"/>
    <cellStyle name="常规 2 2 4 3 2 4" xfId="16800"/>
    <cellStyle name="常规 2 2 4 3 3" xfId="16801"/>
    <cellStyle name="常规 2 2 4 3 3 2" xfId="16802"/>
    <cellStyle name="常规 2 2 4 3 3 2 2" xfId="16803"/>
    <cellStyle name="常规 2 2 4 3 3 3" xfId="16804"/>
    <cellStyle name="常规 2 2 4 3 3 4" xfId="16805"/>
    <cellStyle name="常规 2 2 4 4" xfId="16806"/>
    <cellStyle name="常规 2 2 4 4 2" xfId="16807"/>
    <cellStyle name="常规 2 2 4 4 2 2" xfId="16808"/>
    <cellStyle name="常规 2 2 4 4 2 2 2" xfId="16809"/>
    <cellStyle name="常规 2 2 4 4 2 3" xfId="16810"/>
    <cellStyle name="常规 2 2 4 4 2 4" xfId="16811"/>
    <cellStyle name="常规 2 2 4 4 3" xfId="16812"/>
    <cellStyle name="常规 2 2 4 4 3 2" xfId="16813"/>
    <cellStyle name="常规 2 2 4 4 3 2 2" xfId="16814"/>
    <cellStyle name="常规 2 2 4 4 3 3" xfId="16815"/>
    <cellStyle name="常规 2 2 4 4 3 4" xfId="16816"/>
    <cellStyle name="常规 2 2 4 4 4" xfId="16817"/>
    <cellStyle name="常规 2 2 4 4 4 2" xfId="16818"/>
    <cellStyle name="常规 2 2 4 4 5" xfId="16819"/>
    <cellStyle name="常规 2 2 4 4 6" xfId="16820"/>
    <cellStyle name="常规 2 2 4 5" xfId="16821"/>
    <cellStyle name="常规 2 2 4 5 2" xfId="16822"/>
    <cellStyle name="常规 2 2 4 6" xfId="16823"/>
    <cellStyle name="常规 2 2 4 7" xfId="16824"/>
    <cellStyle name="常规 2 2 4 8" xfId="16825"/>
    <cellStyle name="常规 2 2 5" xfId="16826"/>
    <cellStyle name="常规 2 2 5 10" xfId="16827"/>
    <cellStyle name="常规 2 2 5 2" xfId="16828"/>
    <cellStyle name="常规 2 2 5 2 2" xfId="16829"/>
    <cellStyle name="常规 2 2 5 2 2 2" xfId="16830"/>
    <cellStyle name="常规 2 2 5 2 2 2 2" xfId="16831"/>
    <cellStyle name="常规 2 2 5 2 2 2 2 2" xfId="16832"/>
    <cellStyle name="常规 2 2 5 2 2 2 3" xfId="16833"/>
    <cellStyle name="常规 2 2 5 2 2 2 4" xfId="16834"/>
    <cellStyle name="常规 2 2 5 2 2 3" xfId="16835"/>
    <cellStyle name="常规 2 2 5 2 2 3 2" xfId="16836"/>
    <cellStyle name="常规 2 2 5 2 2 3 2 2" xfId="16837"/>
    <cellStyle name="常规 2 2 5 2 2 3 3" xfId="16838"/>
    <cellStyle name="常规 2 2 5 2 2 3 4" xfId="16839"/>
    <cellStyle name="常规 2 2 5 2 2 4" xfId="16840"/>
    <cellStyle name="常规 2 2 5 2 2 4 2" xfId="16841"/>
    <cellStyle name="常规 2 2 5 2 2 5" xfId="16842"/>
    <cellStyle name="常规 2 2 5 2 2 6" xfId="16843"/>
    <cellStyle name="常规 2 2 5 2 3" xfId="16844"/>
    <cellStyle name="常规 2 2 5 2 3 2" xfId="16845"/>
    <cellStyle name="常规 2 2 5 2 3 2 2" xfId="16846"/>
    <cellStyle name="常规 2 2 5 2 3 2 2 2" xfId="16847"/>
    <cellStyle name="常规 2 2 5 2 3 2 3" xfId="16848"/>
    <cellStyle name="常规 2 2 5 2 3 2 4" xfId="16849"/>
    <cellStyle name="常规 2 2 5 2 3 3" xfId="16850"/>
    <cellStyle name="常规 2 2 5 2 3 3 2" xfId="16851"/>
    <cellStyle name="常规 2 2 5 2 3 4" xfId="16852"/>
    <cellStyle name="常规 2 2 5 2 3 5" xfId="16853"/>
    <cellStyle name="常规 2 2 5 2 4" xfId="16854"/>
    <cellStyle name="常规 2 2 5 2 4 2" xfId="16855"/>
    <cellStyle name="常规 2 2 5 2 4 2 2" xfId="16856"/>
    <cellStyle name="常规 2 2 5 2 4 3" xfId="16857"/>
    <cellStyle name="常规 2 2 5 2 4 4" xfId="16858"/>
    <cellStyle name="常规 2 2 5 2 5" xfId="16859"/>
    <cellStyle name="常规 2 2 5 2 5 2" xfId="16860"/>
    <cellStyle name="常规 2 2 5 2 5 2 2" xfId="16861"/>
    <cellStyle name="常规 2 2 5 2 5 3" xfId="16862"/>
    <cellStyle name="常规 2 2 5 2 5 4" xfId="16863"/>
    <cellStyle name="常规 2 2 5 2 6" xfId="16864"/>
    <cellStyle name="常规 2 2 5 2 6 2" xfId="16865"/>
    <cellStyle name="常规 2 2 5 2 7" xfId="16866"/>
    <cellStyle name="常规 2 2 5 2 8" xfId="16867"/>
    <cellStyle name="常规 2 2 5 3" xfId="16868"/>
    <cellStyle name="常规 2 2 5 3 2" xfId="16869"/>
    <cellStyle name="常规 2 2 5 3 2 2" xfId="16870"/>
    <cellStyle name="常规 2 2 5 3 2 2 2" xfId="16871"/>
    <cellStyle name="常规 2 2 5 3 2 2 2 2" xfId="16872"/>
    <cellStyle name="常规 2 2 5 3 2 2 3" xfId="16873"/>
    <cellStyle name="常规 2 2 5 3 2 2 4" xfId="16874"/>
    <cellStyle name="常规 2 2 5 3 2 3" xfId="16875"/>
    <cellStyle name="常规 2 2 5 3 2 3 2" xfId="16876"/>
    <cellStyle name="常规 2 2 5 3 2 4" xfId="16877"/>
    <cellStyle name="常规 2 2 5 3 2 5" xfId="16878"/>
    <cellStyle name="常规 2 2 5 3 3" xfId="16879"/>
    <cellStyle name="常规 2 2 5 3 3 2" xfId="16880"/>
    <cellStyle name="常规 2 2 5 3 3 2 2" xfId="16881"/>
    <cellStyle name="常规 2 2 5 3 3 3" xfId="16882"/>
    <cellStyle name="常规 2 2 5 3 3 4" xfId="16883"/>
    <cellStyle name="常规 2 2 5 3 4" xfId="16884"/>
    <cellStyle name="常规 2 2 5 3 4 2" xfId="16885"/>
    <cellStyle name="常规 2 2 5 3 5" xfId="16886"/>
    <cellStyle name="常规 2 2 5 3 6" xfId="16887"/>
    <cellStyle name="常规 2 2 5 4" xfId="16888"/>
    <cellStyle name="常规 2 2 5 4 2" xfId="16889"/>
    <cellStyle name="常规 2 2 5 4 2 2" xfId="16890"/>
    <cellStyle name="常规 2 2 5 4 2 2 2" xfId="16891"/>
    <cellStyle name="常规 2 2 5 4 2 3" xfId="16892"/>
    <cellStyle name="常规 2 2 5 4 2 4" xfId="16893"/>
    <cellStyle name="常规 2 2 5 4 3" xfId="16894"/>
    <cellStyle name="常规 2 2 5 4 3 2" xfId="16895"/>
    <cellStyle name="常规 2 2 5 4 3 2 2" xfId="16896"/>
    <cellStyle name="常规 2 2 5 4 3 3" xfId="16897"/>
    <cellStyle name="常规 2 2 5 4 3 4" xfId="16898"/>
    <cellStyle name="常规 2 2 5 4 4" xfId="16899"/>
    <cellStyle name="常规 2 2 5 4 4 2" xfId="16900"/>
    <cellStyle name="常规 2 2 5 4 5" xfId="16901"/>
    <cellStyle name="常规 2 2 5 4 6" xfId="16902"/>
    <cellStyle name="常规 2 2 5 5" xfId="16903"/>
    <cellStyle name="常规 2 2 5 5 2" xfId="16904"/>
    <cellStyle name="常规 2 2 5 5 2 2" xfId="16905"/>
    <cellStyle name="常规 2 2 5 5 3" xfId="16906"/>
    <cellStyle name="常规 2 2 5 5 4" xfId="16907"/>
    <cellStyle name="常规 2 2 5 6" xfId="16908"/>
    <cellStyle name="常规 2 2 5 6 2" xfId="16909"/>
    <cellStyle name="常规 2 2 5 6 2 2" xfId="16910"/>
    <cellStyle name="常规 2 2 5 6 3" xfId="16911"/>
    <cellStyle name="常规 2 2 5 6 4" xfId="16912"/>
    <cellStyle name="常规 2 2 5 7" xfId="16913"/>
    <cellStyle name="常规 2 2 5 7 2" xfId="16914"/>
    <cellStyle name="常规 2 2 5 8" xfId="16915"/>
    <cellStyle name="常规 2 2 5 9" xfId="16916"/>
    <cellStyle name="常规 2 2 6" xfId="16917"/>
    <cellStyle name="常规 2 2 6 10" xfId="16918"/>
    <cellStyle name="常规 2 2 6 2" xfId="16919"/>
    <cellStyle name="常规 2 2 6 2 2" xfId="16920"/>
    <cellStyle name="常规 2 2 6 2 2 2" xfId="16921"/>
    <cellStyle name="常规 2 2 6 2 2 2 2" xfId="16922"/>
    <cellStyle name="常规 2 2 6 2 2 2 2 2" xfId="16923"/>
    <cellStyle name="常规 2 2 6 2 2 2 2 3" xfId="16924"/>
    <cellStyle name="常规 2 2 6 2 2 2 3" xfId="16925"/>
    <cellStyle name="常规 2 2 6 2 2 2 3 2" xfId="16926"/>
    <cellStyle name="常规 2 2 6 2 2 2 4" xfId="16927"/>
    <cellStyle name="常规 2 2 6 2 2 2 4 2" xfId="16928"/>
    <cellStyle name="常规 2 2 6 2 2 2 5" xfId="16929"/>
    <cellStyle name="常规 2 2 6 2 2 2 6" xfId="16930"/>
    <cellStyle name="常规 2 2 6 2 2 2 7" xfId="16931"/>
    <cellStyle name="常规 2 2 6 2 2 3" xfId="16932"/>
    <cellStyle name="常规 2 2 6 2 2 3 2" xfId="16933"/>
    <cellStyle name="常规 2 2 6 2 2 3 2 2" xfId="16934"/>
    <cellStyle name="常规 2 2 6 2 2 3 3" xfId="16935"/>
    <cellStyle name="常规 2 2 6 2 2 3 4" xfId="16936"/>
    <cellStyle name="常规 2 2 6 2 2 3 5" xfId="16937"/>
    <cellStyle name="常规 2 2 6 2 2 4" xfId="16938"/>
    <cellStyle name="常规 2 2 6 2 2 4 2" xfId="16939"/>
    <cellStyle name="常规 2 2 6 2 2 4 3" xfId="16940"/>
    <cellStyle name="常规 2 2 6 2 2 5" xfId="16941"/>
    <cellStyle name="常规 2 2 6 2 2 5 2" xfId="16942"/>
    <cellStyle name="常规 2 2 6 2 2 6" xfId="16943"/>
    <cellStyle name="常规 2 2 6 2 2 6 2" xfId="16944"/>
    <cellStyle name="常规 2 2 6 2 2 7" xfId="16945"/>
    <cellStyle name="常规 2 2 6 2 2 8" xfId="16946"/>
    <cellStyle name="常规 2 2 6 2 3" xfId="16947"/>
    <cellStyle name="常规 2 2 6 2 3 2" xfId="16948"/>
    <cellStyle name="常规 2 2 6 2 3 2 2" xfId="16949"/>
    <cellStyle name="常规 2 2 6 2 3 2 3" xfId="16950"/>
    <cellStyle name="常规 2 2 6 2 3 3" xfId="16951"/>
    <cellStyle name="常规 2 2 6 2 3 3 2" xfId="16952"/>
    <cellStyle name="常规 2 2 6 2 3 4" xfId="16953"/>
    <cellStyle name="常规 2 2 6 2 3 4 2" xfId="16954"/>
    <cellStyle name="常规 2 2 6 2 3 5" xfId="16955"/>
    <cellStyle name="常规 2 2 6 2 3 6" xfId="16956"/>
    <cellStyle name="常规 2 2 6 2 3 7" xfId="16957"/>
    <cellStyle name="常规 2 2 6 2 4" xfId="16958"/>
    <cellStyle name="常规 2 2 6 2 4 2" xfId="16959"/>
    <cellStyle name="常规 2 2 6 2 4 2 2" xfId="16960"/>
    <cellStyle name="常规 2 2 6 2 4 3" xfId="16961"/>
    <cellStyle name="常规 2 2 6 2 4 4" xfId="16962"/>
    <cellStyle name="常规 2 2 6 2 4 5" xfId="16963"/>
    <cellStyle name="常规 2 2 6 2 5" xfId="16964"/>
    <cellStyle name="常规 2 2 6 2 5 2" xfId="16965"/>
    <cellStyle name="常规 2 2 6 2 5 3" xfId="16966"/>
    <cellStyle name="常规 2 2 6 2 6" xfId="16967"/>
    <cellStyle name="常规 2 2 6 2 6 2" xfId="16968"/>
    <cellStyle name="常规 2 2 6 2 7" xfId="16969"/>
    <cellStyle name="常规 2 2 6 2 7 2" xfId="16970"/>
    <cellStyle name="常规 2 2 6 2 8" xfId="16971"/>
    <cellStyle name="常规 2 2 6 2 9" xfId="16972"/>
    <cellStyle name="常规 2 2 6 3" xfId="16973"/>
    <cellStyle name="常规 2 2 6 3 2" xfId="16974"/>
    <cellStyle name="常规 2 2 6 3 2 2" xfId="16975"/>
    <cellStyle name="常规 2 2 6 3 2 2 2" xfId="16976"/>
    <cellStyle name="常规 2 2 6 3 2 2 3" xfId="16977"/>
    <cellStyle name="常规 2 2 6 3 2 3" xfId="16978"/>
    <cellStyle name="常规 2 2 6 3 2 3 2" xfId="16979"/>
    <cellStyle name="常规 2 2 6 3 2 4" xfId="16980"/>
    <cellStyle name="常规 2 2 6 3 2 4 2" xfId="16981"/>
    <cellStyle name="常规 2 2 6 3 2 5" xfId="16982"/>
    <cellStyle name="常规 2 2 6 3 2 6" xfId="16983"/>
    <cellStyle name="常规 2 2 6 3 2 7" xfId="16984"/>
    <cellStyle name="常规 2 2 6 3 3" xfId="16985"/>
    <cellStyle name="常规 2 2 6 3 3 2" xfId="16986"/>
    <cellStyle name="常规 2 2 6 3 3 2 2" xfId="16987"/>
    <cellStyle name="常规 2 2 6 3 3 3" xfId="16988"/>
    <cellStyle name="常规 2 2 6 3 3 4" xfId="16989"/>
    <cellStyle name="常规 2 2 6 3 3 5" xfId="16990"/>
    <cellStyle name="常规 2 2 6 3 4" xfId="16991"/>
    <cellStyle name="常规 2 2 6 3 4 2" xfId="16992"/>
    <cellStyle name="常规 2 2 6 3 4 3" xfId="16993"/>
    <cellStyle name="常规 2 2 6 3 5" xfId="16994"/>
    <cellStyle name="常规 2 2 6 3 5 2" xfId="16995"/>
    <cellStyle name="常规 2 2 6 3 6" xfId="16996"/>
    <cellStyle name="常规 2 2 6 3 6 2" xfId="16997"/>
    <cellStyle name="常规 2 2 6 3 7" xfId="16998"/>
    <cellStyle name="常规 2 2 6 3 8" xfId="16999"/>
    <cellStyle name="常规 2 2 6 4" xfId="17000"/>
    <cellStyle name="常规 2 2 6 4 2" xfId="17001"/>
    <cellStyle name="常规 2 2 6 4 2 2" xfId="17002"/>
    <cellStyle name="常规 2 2 6 4 2 2 2" xfId="17003"/>
    <cellStyle name="常规 2 2 6 4 2 3" xfId="17004"/>
    <cellStyle name="常规 2 2 6 4 2 4" xfId="17005"/>
    <cellStyle name="常规 2 2 6 4 2 5" xfId="17006"/>
    <cellStyle name="常规 2 2 6 4 3" xfId="17007"/>
    <cellStyle name="常规 2 2 6 4 3 2" xfId="17008"/>
    <cellStyle name="常规 2 2 6 4 3 3" xfId="17009"/>
    <cellStyle name="常规 2 2 6 4 4" xfId="17010"/>
    <cellStyle name="常规 2 2 6 4 4 2" xfId="17011"/>
    <cellStyle name="常规 2 2 6 4 5" xfId="17012"/>
    <cellStyle name="常规 2 2 6 4 5 2" xfId="17013"/>
    <cellStyle name="常规 2 2 6 4 6" xfId="17014"/>
    <cellStyle name="常规 2 2 6 4 7" xfId="17015"/>
    <cellStyle name="常规 2 2 6 5" xfId="17016"/>
    <cellStyle name="常规 2 2 6 5 2" xfId="17017"/>
    <cellStyle name="常规 2 2 6 5 2 2" xfId="17018"/>
    <cellStyle name="常规 2 2 6 5 3" xfId="17019"/>
    <cellStyle name="常规 2 2 6 5 4" xfId="17020"/>
    <cellStyle name="常规 2 2 6 5 5" xfId="17021"/>
    <cellStyle name="常规 2 2 6 6" xfId="17022"/>
    <cellStyle name="常规 2 2 6 6 2" xfId="17023"/>
    <cellStyle name="常规 2 2 6 6 2 2" xfId="17024"/>
    <cellStyle name="常规 2 2 6 6 3" xfId="17025"/>
    <cellStyle name="常规 2 2 6 6 4" xfId="17026"/>
    <cellStyle name="常规 2 2 6 6 5" xfId="17027"/>
    <cellStyle name="常规 2 2 6 7" xfId="17028"/>
    <cellStyle name="常规 2 2 6 7 2" xfId="17029"/>
    <cellStyle name="常规 2 2 6 7 3" xfId="17030"/>
    <cellStyle name="常规 2 2 6 8" xfId="17031"/>
    <cellStyle name="常规 2 2 6 8 2" xfId="17032"/>
    <cellStyle name="常规 2 2 6 9" xfId="17033"/>
    <cellStyle name="常规 2 2 6 9 2" xfId="17034"/>
    <cellStyle name="常规 2 2 7" xfId="17035"/>
    <cellStyle name="常规 2 2 7 2" xfId="17036"/>
    <cellStyle name="常规 2 2 7 2 2" xfId="17037"/>
    <cellStyle name="常规 2 2 7 2 2 2" xfId="17038"/>
    <cellStyle name="常规 2 2 7 2 2 2 2" xfId="17039"/>
    <cellStyle name="常规 2 2 7 2 2 3" xfId="17040"/>
    <cellStyle name="常规 2 2 7 2 2 4" xfId="17041"/>
    <cellStyle name="常规 2 2 7 2 3" xfId="17042"/>
    <cellStyle name="常规 2 2 7 2 3 2" xfId="17043"/>
    <cellStyle name="常规 2 2 7 2 3 2 2" xfId="17044"/>
    <cellStyle name="常规 2 2 7 2 3 3" xfId="17045"/>
    <cellStyle name="常规 2 2 7 2 3 4" xfId="17046"/>
    <cellStyle name="常规 2 2 7 2 4" xfId="17047"/>
    <cellStyle name="常规 2 2 7 2 4 2" xfId="17048"/>
    <cellStyle name="常规 2 2 7 2 5" xfId="17049"/>
    <cellStyle name="常规 2 2 7 2 6" xfId="17050"/>
    <cellStyle name="常规 2 2 7 3" xfId="17051"/>
    <cellStyle name="常规 2 2 7 3 2" xfId="17052"/>
    <cellStyle name="常规 2 2 7 3 2 2" xfId="17053"/>
    <cellStyle name="常规 2 2 7 3 3" xfId="17054"/>
    <cellStyle name="常规 2 2 7 3 4" xfId="17055"/>
    <cellStyle name="常规 2 2 7 4" xfId="17056"/>
    <cellStyle name="常规 2 2 7 4 2" xfId="17057"/>
    <cellStyle name="常规 2 2 7 4 2 2" xfId="17058"/>
    <cellStyle name="常规 2 2 7 4 3" xfId="17059"/>
    <cellStyle name="常规 2 2 7 4 4" xfId="17060"/>
    <cellStyle name="常规 2 2 7 5" xfId="17061"/>
    <cellStyle name="常规 2 2 7 5 2" xfId="17062"/>
    <cellStyle name="常规 2 2 7 6" xfId="17063"/>
    <cellStyle name="常规 2 2 7 7" xfId="17064"/>
    <cellStyle name="常规 2 2 7 8" xfId="17065"/>
    <cellStyle name="常规 2 2 8" xfId="17066"/>
    <cellStyle name="常规 2 2 8 2" xfId="17067"/>
    <cellStyle name="常规 2 2 8 2 2" xfId="17068"/>
    <cellStyle name="常规 2 2 8 2 2 2" xfId="17069"/>
    <cellStyle name="常规 2 2 8 2 3" xfId="17070"/>
    <cellStyle name="常规 2 2 8 2 4" xfId="17071"/>
    <cellStyle name="常规 2 2 8 3" xfId="17072"/>
    <cellStyle name="常规 2 2 8 3 2" xfId="17073"/>
    <cellStyle name="常规 2 2 8 3 2 2" xfId="17074"/>
    <cellStyle name="常规 2 2 8 3 3" xfId="17075"/>
    <cellStyle name="常规 2 2 8 3 4" xfId="17076"/>
    <cellStyle name="常规 2 2 8 4" xfId="17077"/>
    <cellStyle name="常规 2 2 8 4 2" xfId="17078"/>
    <cellStyle name="常规 2 2 8 5" xfId="17079"/>
    <cellStyle name="常规 2 2 8 6" xfId="17080"/>
    <cellStyle name="常规 2 2 8 7" xfId="17081"/>
    <cellStyle name="常规 2 2 9" xfId="17082"/>
    <cellStyle name="常规 2 2 9 2" xfId="17083"/>
    <cellStyle name="常规 2 2 9 2 2" xfId="17084"/>
    <cellStyle name="常规 2 2 9 2 3" xfId="17085"/>
    <cellStyle name="常规 2 2 9 3" xfId="17086"/>
    <cellStyle name="常规 2 2 9 3 2" xfId="17087"/>
    <cellStyle name="常规 2 2 9 3 3" xfId="17088"/>
    <cellStyle name="常规 2 2 9 4" xfId="17089"/>
    <cellStyle name="常规 2 2 9 5" xfId="17090"/>
    <cellStyle name="常规 2 2 9 6" xfId="17091"/>
    <cellStyle name="常规 2 2_宣城（资产池全部）" xfId="17092"/>
    <cellStyle name="常规 2 20" xfId="17093"/>
    <cellStyle name="常规 2 20 2" xfId="17094"/>
    <cellStyle name="常规 2 20 2 2" xfId="17095"/>
    <cellStyle name="常规 2 20 2 2 2" xfId="17096"/>
    <cellStyle name="常规 2 20 2 3" xfId="17097"/>
    <cellStyle name="常规 2 20 2 4" xfId="17098"/>
    <cellStyle name="常规 2 20 3" xfId="17099"/>
    <cellStyle name="常规 2 20 3 2" xfId="17100"/>
    <cellStyle name="常规 2 20 4" xfId="17101"/>
    <cellStyle name="常规 2 20 5" xfId="17102"/>
    <cellStyle name="常规 2 20 6" xfId="17103"/>
    <cellStyle name="常规 2 21" xfId="17104"/>
    <cellStyle name="常规 2 21 2" xfId="17105"/>
    <cellStyle name="常规 2 21 2 2" xfId="17106"/>
    <cellStyle name="常规 2 21 2 2 2" xfId="17107"/>
    <cellStyle name="常规 2 21 2 3" xfId="17108"/>
    <cellStyle name="常规 2 21 2 4" xfId="17109"/>
    <cellStyle name="常规 2 21 3" xfId="17110"/>
    <cellStyle name="常规 2 21 3 2" xfId="17111"/>
    <cellStyle name="常规 2 21 4" xfId="17112"/>
    <cellStyle name="常规 2 21 5" xfId="17113"/>
    <cellStyle name="常规 2 21 6" xfId="17114"/>
    <cellStyle name="常规 2 22" xfId="17115"/>
    <cellStyle name="常规 2 22 2" xfId="17116"/>
    <cellStyle name="常规 2 23" xfId="17117"/>
    <cellStyle name="常规 2 23 2" xfId="17118"/>
    <cellStyle name="常规 2 24" xfId="17119"/>
    <cellStyle name="常规 2 24 2" xfId="17120"/>
    <cellStyle name="常规 2 24 2 2" xfId="17121"/>
    <cellStyle name="常规 2 24 3" xfId="17122"/>
    <cellStyle name="常规 2 24 4" xfId="17123"/>
    <cellStyle name="常规 2 24 5" xfId="17124"/>
    <cellStyle name="常规 2 25" xfId="17125"/>
    <cellStyle name="常规 2 25 2" xfId="17126"/>
    <cellStyle name="常规 2 25 2 2" xfId="17127"/>
    <cellStyle name="常规 2 25 3" xfId="17128"/>
    <cellStyle name="常规 2 25 4" xfId="17129"/>
    <cellStyle name="常规 2 25 5" xfId="17130"/>
    <cellStyle name="常规 2 26" xfId="17131"/>
    <cellStyle name="常规 2 26 2" xfId="17132"/>
    <cellStyle name="常规 2 26 3" xfId="17133"/>
    <cellStyle name="常规 2 26 4" xfId="17134"/>
    <cellStyle name="常规 2 27" xfId="17135"/>
    <cellStyle name="常规 2 27 2" xfId="17136"/>
    <cellStyle name="常规 2 27 3" xfId="17137"/>
    <cellStyle name="常规 2 28" xfId="17138"/>
    <cellStyle name="常规 2 28 2" xfId="17139"/>
    <cellStyle name="常规 2 28 3" xfId="17140"/>
    <cellStyle name="常规 2 28 4" xfId="17141"/>
    <cellStyle name="常规 2 29" xfId="17142"/>
    <cellStyle name="常规 2 29 2" xfId="17143"/>
    <cellStyle name="常规 2 3" xfId="17144"/>
    <cellStyle name="常规 2 3 10" xfId="17145"/>
    <cellStyle name="常规 2 3 10 2" xfId="17146"/>
    <cellStyle name="常规 2 3 11" xfId="17147"/>
    <cellStyle name="常规 2 3 11 2" xfId="17148"/>
    <cellStyle name="常规 2 3 12" xfId="17149"/>
    <cellStyle name="常规 2 3 13" xfId="17150"/>
    <cellStyle name="常规 2 3 14" xfId="17151"/>
    <cellStyle name="常规 2 3 2" xfId="17152"/>
    <cellStyle name="常规 2 3 2 2" xfId="17153"/>
    <cellStyle name="常规 2 3 2 2 2" xfId="17154"/>
    <cellStyle name="常规 2 3 2 3" xfId="17155"/>
    <cellStyle name="常规 2 3 2 3 2" xfId="17156"/>
    <cellStyle name="常规 2 3 2 3 3" xfId="17157"/>
    <cellStyle name="常规 2 3 2 4" xfId="17158"/>
    <cellStyle name="常规 2 3 2 5" xfId="17159"/>
    <cellStyle name="常规 2 3 3" xfId="17160"/>
    <cellStyle name="常规 2 3 3 2" xfId="17161"/>
    <cellStyle name="常规 2 3 3 2 2" xfId="17162"/>
    <cellStyle name="常规 2 3 3 2 3" xfId="17163"/>
    <cellStyle name="常规 2 3 3 3" xfId="17164"/>
    <cellStyle name="常规 2 3 3 3 2" xfId="17165"/>
    <cellStyle name="常规 2 3 3 4" xfId="17166"/>
    <cellStyle name="常规 2 3 3 5" xfId="17167"/>
    <cellStyle name="常规 2 3 3 6" xfId="17168"/>
    <cellStyle name="常规 2 3 4" xfId="17169"/>
    <cellStyle name="常规 2 3 4 2" xfId="17170"/>
    <cellStyle name="常规 2 3 4 3" xfId="17171"/>
    <cellStyle name="常规 2 3 4 4" xfId="17172"/>
    <cellStyle name="常规 2 3 5" xfId="17173"/>
    <cellStyle name="常规 2 3 5 2" xfId="17174"/>
    <cellStyle name="常规 2 3 5 2 2" xfId="17175"/>
    <cellStyle name="常规 2 3 5 3" xfId="17176"/>
    <cellStyle name="常规 2 3 6" xfId="17177"/>
    <cellStyle name="常规 2 3 6 2" xfId="17178"/>
    <cellStyle name="常规 2 3 6 2 2" xfId="17179"/>
    <cellStyle name="常规 2 3 6 3" xfId="17180"/>
    <cellStyle name="常规 2 3 7" xfId="17181"/>
    <cellStyle name="常规 2 3 7 2" xfId="17182"/>
    <cellStyle name="常规 2 3 7 2 2" xfId="17183"/>
    <cellStyle name="常规 2 3 7 3" xfId="17184"/>
    <cellStyle name="常规 2 3 8" xfId="17185"/>
    <cellStyle name="常规 2 3 8 2" xfId="17186"/>
    <cellStyle name="常规 2 3 8 2 2" xfId="17187"/>
    <cellStyle name="常规 2 3 8 3" xfId="17188"/>
    <cellStyle name="常规 2 3 9" xfId="17189"/>
    <cellStyle name="常规 2 3 9 2" xfId="17190"/>
    <cellStyle name="常规 2 3 9 3" xfId="17191"/>
    <cellStyle name="常规 2 30" xfId="17192"/>
    <cellStyle name="常规 2 30 2" xfId="17193"/>
    <cellStyle name="常规 2 31" xfId="17194"/>
    <cellStyle name="常规 2 32" xfId="17195"/>
    <cellStyle name="常规 2 33" xfId="17196"/>
    <cellStyle name="常规 2 34" xfId="17197"/>
    <cellStyle name="常规 2 35" xfId="17198"/>
    <cellStyle name="常规 2 36" xfId="17199"/>
    <cellStyle name="常规 2 37" xfId="17200"/>
    <cellStyle name="常规 2 38" xfId="17201"/>
    <cellStyle name="常规 2 39" xfId="17202"/>
    <cellStyle name="常规 2 4" xfId="17203"/>
    <cellStyle name="常规 2 4 10" xfId="17204"/>
    <cellStyle name="常规 2 4 10 2" xfId="17205"/>
    <cellStyle name="常规 2 4 10 2 2" xfId="17206"/>
    <cellStyle name="常规 2 4 10 3" xfId="17207"/>
    <cellStyle name="常规 2 4 11" xfId="17208"/>
    <cellStyle name="常规 2 4 11 2" xfId="17209"/>
    <cellStyle name="常规 2 4 12" xfId="17210"/>
    <cellStyle name="常规 2 4 12 2" xfId="17211"/>
    <cellStyle name="常规 2 4 13" xfId="17212"/>
    <cellStyle name="常规 2 4 2" xfId="17213"/>
    <cellStyle name="常规 2 4 2 10" xfId="17214"/>
    <cellStyle name="常规 2 4 2 2" xfId="17215"/>
    <cellStyle name="常规 2 4 2 2 2" xfId="17216"/>
    <cellStyle name="常规 2 4 2 2 2 2" xfId="17217"/>
    <cellStyle name="常规 2 4 2 2 2 2 2" xfId="17218"/>
    <cellStyle name="常规 2 4 2 2 2 2 2 2" xfId="17219"/>
    <cellStyle name="常规 2 4 2 2 2 2 3" xfId="17220"/>
    <cellStyle name="常规 2 4 2 2 2 2 4" xfId="17221"/>
    <cellStyle name="常规 2 4 2 2 2 3" xfId="17222"/>
    <cellStyle name="常规 2 4 2 2 2 3 2" xfId="17223"/>
    <cellStyle name="常规 2 4 2 2 2 3 2 2" xfId="17224"/>
    <cellStyle name="常规 2 4 2 2 2 3 3" xfId="17225"/>
    <cellStyle name="常规 2 4 2 2 2 3 4" xfId="17226"/>
    <cellStyle name="常规 2 4 2 2 2 4" xfId="17227"/>
    <cellStyle name="常规 2 4 2 2 2 4 2" xfId="17228"/>
    <cellStyle name="常规 2 4 2 2 2 5" xfId="17229"/>
    <cellStyle name="常规 2 4 2 2 2 6" xfId="17230"/>
    <cellStyle name="常规 2 4 2 2 2 7" xfId="17231"/>
    <cellStyle name="常规 2 4 2 2 3" xfId="17232"/>
    <cellStyle name="常规 2 4 2 2 3 2" xfId="17233"/>
    <cellStyle name="常规 2 4 2 2 3 2 2" xfId="17234"/>
    <cellStyle name="常规 2 4 2 2 3 2 3" xfId="17235"/>
    <cellStyle name="常规 2 4 2 2 3 3" xfId="17236"/>
    <cellStyle name="常规 2 4 2 2 3 3 2" xfId="17237"/>
    <cellStyle name="常规 2 4 2 2 3 4" xfId="17238"/>
    <cellStyle name="常规 2 4 2 2 3 4 2" xfId="17239"/>
    <cellStyle name="常规 2 4 2 2 3 5" xfId="17240"/>
    <cellStyle name="常规 2 4 2 2 3 6" xfId="17241"/>
    <cellStyle name="常规 2 4 2 2 3 7" xfId="17242"/>
    <cellStyle name="常规 2 4 2 2 4" xfId="17243"/>
    <cellStyle name="常规 2 4 2 2 4 2" xfId="17244"/>
    <cellStyle name="常规 2 4 2 2 4 2 2" xfId="17245"/>
    <cellStyle name="常规 2 4 2 2 4 3" xfId="17246"/>
    <cellStyle name="常规 2 4 2 2 4 4" xfId="17247"/>
    <cellStyle name="常规 2 4 2 2 4 5" xfId="17248"/>
    <cellStyle name="常规 2 4 2 2 5" xfId="17249"/>
    <cellStyle name="常规 2 4 2 2 5 2" xfId="17250"/>
    <cellStyle name="常规 2 4 2 2 5 3" xfId="17251"/>
    <cellStyle name="常规 2 4 2 2 6" xfId="17252"/>
    <cellStyle name="常规 2 4 2 2 6 2" xfId="17253"/>
    <cellStyle name="常规 2 4 2 2 7" xfId="17254"/>
    <cellStyle name="常规 2 4 2 2 7 2" xfId="17255"/>
    <cellStyle name="常规 2 4 2 2 8" xfId="17256"/>
    <cellStyle name="常规 2 4 2 2 9" xfId="17257"/>
    <cellStyle name="常规 2 4 2 3" xfId="17258"/>
    <cellStyle name="常规 2 4 2 3 2" xfId="17259"/>
    <cellStyle name="常规 2 4 2 3 2 2" xfId="17260"/>
    <cellStyle name="常规 2 4 2 3 2 2 2" xfId="17261"/>
    <cellStyle name="常规 2 4 2 3 2 2 3" xfId="17262"/>
    <cellStyle name="常规 2 4 2 3 2 3" xfId="17263"/>
    <cellStyle name="常规 2 4 2 3 2 3 2" xfId="17264"/>
    <cellStyle name="常规 2 4 2 3 2 4" xfId="17265"/>
    <cellStyle name="常规 2 4 2 3 2 4 2" xfId="17266"/>
    <cellStyle name="常规 2 4 2 3 2 5" xfId="17267"/>
    <cellStyle name="常规 2 4 2 3 2 6" xfId="17268"/>
    <cellStyle name="常规 2 4 2 3 2 7" xfId="17269"/>
    <cellStyle name="常规 2 4 2 3 3" xfId="17270"/>
    <cellStyle name="常规 2 4 2 3 3 2" xfId="17271"/>
    <cellStyle name="常规 2 4 2 3 4" xfId="17272"/>
    <cellStyle name="常规 2 4 2 3 4 2" xfId="17273"/>
    <cellStyle name="常规 2 4 2 3 4 3" xfId="17274"/>
    <cellStyle name="常规 2 4 2 3 5" xfId="17275"/>
    <cellStyle name="常规 2 4 2 3 5 2" xfId="17276"/>
    <cellStyle name="常规 2 4 2 3 6" xfId="17277"/>
    <cellStyle name="常规 2 4 2 3 6 2" xfId="17278"/>
    <cellStyle name="常规 2 4 2 3 7" xfId="17279"/>
    <cellStyle name="常规 2 4 2 3 8" xfId="17280"/>
    <cellStyle name="常规 2 4 2 4" xfId="17281"/>
    <cellStyle name="常规 2 4 2 4 2" xfId="17282"/>
    <cellStyle name="常规 2 4 2 4 2 2" xfId="17283"/>
    <cellStyle name="常规 2 4 2 4 2 2 2" xfId="17284"/>
    <cellStyle name="常规 2 4 2 4 2 3" xfId="17285"/>
    <cellStyle name="常规 2 4 2 4 2 4" xfId="17286"/>
    <cellStyle name="常规 2 4 2 4 2 5" xfId="17287"/>
    <cellStyle name="常规 2 4 2 4 3" xfId="17288"/>
    <cellStyle name="常规 2 4 2 4 3 2" xfId="17289"/>
    <cellStyle name="常规 2 4 2 4 3 3" xfId="17290"/>
    <cellStyle name="常规 2 4 2 4 4" xfId="17291"/>
    <cellStyle name="常规 2 4 2 4 4 2" xfId="17292"/>
    <cellStyle name="常规 2 4 2 4 5" xfId="17293"/>
    <cellStyle name="常规 2 4 2 4 5 2" xfId="17294"/>
    <cellStyle name="常规 2 4 2 4 6" xfId="17295"/>
    <cellStyle name="常规 2 4 2 4 7" xfId="17296"/>
    <cellStyle name="常规 2 4 2 5" xfId="17297"/>
    <cellStyle name="常规 2 4 2 5 2" xfId="17298"/>
    <cellStyle name="常规 2 4 2 5 2 2" xfId="17299"/>
    <cellStyle name="常规 2 4 2 5 3" xfId="17300"/>
    <cellStyle name="常规 2 4 2 5 4" xfId="17301"/>
    <cellStyle name="常规 2 4 2 5 5" xfId="17302"/>
    <cellStyle name="常规 2 4 2 6" xfId="17303"/>
    <cellStyle name="常规 2 4 2 6 2" xfId="17304"/>
    <cellStyle name="常规 2 4 2 6 3" xfId="17305"/>
    <cellStyle name="常规 2 4 2 7" xfId="17306"/>
    <cellStyle name="常规 2 4 2 7 2" xfId="17307"/>
    <cellStyle name="常规 2 4 2 8" xfId="17308"/>
    <cellStyle name="常规 2 4 2 8 2" xfId="17309"/>
    <cellStyle name="常规 2 4 2 9" xfId="17310"/>
    <cellStyle name="常规 2 4 2 9 2" xfId="17311"/>
    <cellStyle name="常规 2 4 3" xfId="17312"/>
    <cellStyle name="常规 2 4 3 2" xfId="17313"/>
    <cellStyle name="常规 2 4 3 2 2" xfId="17314"/>
    <cellStyle name="常规 2 4 3 2 2 2" xfId="17315"/>
    <cellStyle name="常规 2 4 3 2 2 2 2" xfId="17316"/>
    <cellStyle name="常规 2 4 3 2 2 2 2 2" xfId="17317"/>
    <cellStyle name="常规 2 4 3 2 2 2 3" xfId="17318"/>
    <cellStyle name="常规 2 4 3 2 2 2 4" xfId="17319"/>
    <cellStyle name="常规 2 4 3 2 2 3" xfId="17320"/>
    <cellStyle name="常规 2 4 3 2 2 3 2" xfId="17321"/>
    <cellStyle name="常规 2 4 3 2 2 4" xfId="17322"/>
    <cellStyle name="常规 2 4 3 2 2 5" xfId="17323"/>
    <cellStyle name="常规 2 4 3 2 3" xfId="17324"/>
    <cellStyle name="常规 2 4 3 2 3 2" xfId="17325"/>
    <cellStyle name="常规 2 4 3 2 3 2 2" xfId="17326"/>
    <cellStyle name="常规 2 4 3 2 3 3" xfId="17327"/>
    <cellStyle name="常规 2 4 3 2 3 4" xfId="17328"/>
    <cellStyle name="常规 2 4 3 2 4" xfId="17329"/>
    <cellStyle name="常规 2 4 3 2 4 2" xfId="17330"/>
    <cellStyle name="常规 2 4 3 2 5" xfId="17331"/>
    <cellStyle name="常规 2 4 3 2 6" xfId="17332"/>
    <cellStyle name="常规 2 4 3 2 7" xfId="17333"/>
    <cellStyle name="常规 2 4 3 3" xfId="17334"/>
    <cellStyle name="常规 2 4 3 3 2" xfId="17335"/>
    <cellStyle name="常规 2 4 3 3 2 2" xfId="17336"/>
    <cellStyle name="常规 2 4 3 3 2 2 2" xfId="17337"/>
    <cellStyle name="常规 2 4 3 3 2 3" xfId="17338"/>
    <cellStyle name="常规 2 4 3 3 2 4" xfId="17339"/>
    <cellStyle name="常规 2 4 3 3 2 5" xfId="17340"/>
    <cellStyle name="常规 2 4 3 3 3" xfId="17341"/>
    <cellStyle name="常规 2 4 3 3 3 2" xfId="17342"/>
    <cellStyle name="常规 2 4 3 3 4" xfId="17343"/>
    <cellStyle name="常规 2 4 3 3 4 2" xfId="17344"/>
    <cellStyle name="常规 2 4 3 3 4 3" xfId="17345"/>
    <cellStyle name="常规 2 4 3 3 5" xfId="17346"/>
    <cellStyle name="常规 2 4 3 3 5 2" xfId="17347"/>
    <cellStyle name="常规 2 4 3 3 6" xfId="17348"/>
    <cellStyle name="常规 2 4 3 3 6 2" xfId="17349"/>
    <cellStyle name="常规 2 4 3 3 7" xfId="17350"/>
    <cellStyle name="常规 2 4 3 4" xfId="17351"/>
    <cellStyle name="常规 2 4 3 4 2" xfId="17352"/>
    <cellStyle name="常规 2 4 3 4 2 2" xfId="17353"/>
    <cellStyle name="常规 2 4 3 4 2 2 2" xfId="17354"/>
    <cellStyle name="常规 2 4 3 4 2 3" xfId="17355"/>
    <cellStyle name="常规 2 4 3 4 2 4" xfId="17356"/>
    <cellStyle name="常规 2 4 3 4 3" xfId="17357"/>
    <cellStyle name="常规 2 4 3 4 3 2" xfId="17358"/>
    <cellStyle name="常规 2 4 3 4 4" xfId="17359"/>
    <cellStyle name="常规 2 4 3 4 5" xfId="17360"/>
    <cellStyle name="常规 2 4 3 4 6" xfId="17361"/>
    <cellStyle name="常规 2 4 3 5" xfId="17362"/>
    <cellStyle name="常规 2 4 3 5 2" xfId="17363"/>
    <cellStyle name="常规 2 4 3 5 2 2" xfId="17364"/>
    <cellStyle name="常规 2 4 3 5 3" xfId="17365"/>
    <cellStyle name="常规 2 4 3 5 4" xfId="17366"/>
    <cellStyle name="常规 2 4 3 5 5" xfId="17367"/>
    <cellStyle name="常规 2 4 3 6" xfId="17368"/>
    <cellStyle name="常规 2 4 3 6 2" xfId="17369"/>
    <cellStyle name="常规 2 4 3 6 3" xfId="17370"/>
    <cellStyle name="常规 2 4 3 7" xfId="17371"/>
    <cellStyle name="常规 2 4 3 7 2" xfId="17372"/>
    <cellStyle name="常规 2 4 3 8" xfId="17373"/>
    <cellStyle name="常规 2 4 3 8 2" xfId="17374"/>
    <cellStyle name="常规 2 4 3 9" xfId="17375"/>
    <cellStyle name="常规 2 4 4" xfId="17376"/>
    <cellStyle name="常规 2 4 4 2" xfId="17377"/>
    <cellStyle name="常规 2 4 4 2 2" xfId="17378"/>
    <cellStyle name="常规 2 4 4 2 2 2" xfId="17379"/>
    <cellStyle name="常规 2 4 4 2 2 2 2" xfId="17380"/>
    <cellStyle name="常规 2 4 4 2 2 3" xfId="17381"/>
    <cellStyle name="常规 2 4 4 2 2 4" xfId="17382"/>
    <cellStyle name="常规 2 4 4 2 3" xfId="17383"/>
    <cellStyle name="常规 2 4 4 2 3 2" xfId="17384"/>
    <cellStyle name="常规 2 4 4 2 3 2 2" xfId="17385"/>
    <cellStyle name="常规 2 4 4 2 3 3" xfId="17386"/>
    <cellStyle name="常规 2 4 4 2 3 4" xfId="17387"/>
    <cellStyle name="常规 2 4 4 2 4" xfId="17388"/>
    <cellStyle name="常规 2 4 4 2 4 2" xfId="17389"/>
    <cellStyle name="常规 2 4 4 2 5" xfId="17390"/>
    <cellStyle name="常规 2 4 4 2 6" xfId="17391"/>
    <cellStyle name="常规 2 4 4 2 7" xfId="17392"/>
    <cellStyle name="常规 2 4 4 3" xfId="17393"/>
    <cellStyle name="常规 2 4 4 3 2" xfId="17394"/>
    <cellStyle name="常规 2 4 4 3 2 2" xfId="17395"/>
    <cellStyle name="常规 2 4 4 3 3" xfId="17396"/>
    <cellStyle name="常规 2 4 4 3 4" xfId="17397"/>
    <cellStyle name="常规 2 4 4 4" xfId="17398"/>
    <cellStyle name="常规 2 4 4 4 2" xfId="17399"/>
    <cellStyle name="常规 2 4 4 4 2 2" xfId="17400"/>
    <cellStyle name="常规 2 4 4 4 3" xfId="17401"/>
    <cellStyle name="常规 2 4 4 4 4" xfId="17402"/>
    <cellStyle name="常规 2 4 4 5" xfId="17403"/>
    <cellStyle name="常规 2 4 4 5 2" xfId="17404"/>
    <cellStyle name="常规 2 4 4 6" xfId="17405"/>
    <cellStyle name="常规 2 4 4 7" xfId="17406"/>
    <cellStyle name="常规 2 4 4 8" xfId="17407"/>
    <cellStyle name="常规 2 4 4 9" xfId="17408"/>
    <cellStyle name="常规 2 4 5" xfId="17409"/>
    <cellStyle name="常规 2 4 5 2" xfId="17410"/>
    <cellStyle name="常规 2 4 5 2 2" xfId="17411"/>
    <cellStyle name="常规 2 4 5 2 2 2" xfId="17412"/>
    <cellStyle name="常规 2 4 5 2 3" xfId="17413"/>
    <cellStyle name="常规 2 4 5 2 4" xfId="17414"/>
    <cellStyle name="常规 2 4 5 3" xfId="17415"/>
    <cellStyle name="常规 2 4 5 3 2" xfId="17416"/>
    <cellStyle name="常规 2 4 5 3 3" xfId="17417"/>
    <cellStyle name="常规 2 4 5 3 4" xfId="17418"/>
    <cellStyle name="常规 2 4 5 4" xfId="17419"/>
    <cellStyle name="常规 2 4 5 4 2" xfId="17420"/>
    <cellStyle name="常规 2 4 5 5" xfId="17421"/>
    <cellStyle name="常规 2 4 5 6" xfId="17422"/>
    <cellStyle name="常规 2 4 5 7" xfId="17423"/>
    <cellStyle name="常规 2 4 5 8" xfId="17424"/>
    <cellStyle name="常规 2 4 6" xfId="17425"/>
    <cellStyle name="常规 2 4 6 2" xfId="17426"/>
    <cellStyle name="常规 2 4 6 3" xfId="17427"/>
    <cellStyle name="常规 2 4 6 3 2" xfId="17428"/>
    <cellStyle name="常规 2 4 6 4" xfId="17429"/>
    <cellStyle name="常规 2 4 6 5" xfId="17430"/>
    <cellStyle name="常规 2 4 6 6" xfId="17431"/>
    <cellStyle name="常规 2 4 7" xfId="17432"/>
    <cellStyle name="常规 2 4 7 2" xfId="17433"/>
    <cellStyle name="常规 2 4 7 3" xfId="17434"/>
    <cellStyle name="常规 2 4 7 4" xfId="17435"/>
    <cellStyle name="常规 2 4 7 5" xfId="17436"/>
    <cellStyle name="常规 2 4 7 6" xfId="17437"/>
    <cellStyle name="常规 2 4 7 7" xfId="17438"/>
    <cellStyle name="常规 2 4 8" xfId="17439"/>
    <cellStyle name="常规 2 4 8 2" xfId="17440"/>
    <cellStyle name="常规 2 4 8 2 2" xfId="17441"/>
    <cellStyle name="常规 2 4 8 3" xfId="17442"/>
    <cellStyle name="常规 2 4 8 4" xfId="17443"/>
    <cellStyle name="常规 2 4 8 5" xfId="17444"/>
    <cellStyle name="常规 2 4 9" xfId="17445"/>
    <cellStyle name="常规 2 4 9 2" xfId="17446"/>
    <cellStyle name="常规 2 4 9 2 2" xfId="17447"/>
    <cellStyle name="常规 2 4 9 3" xfId="17448"/>
    <cellStyle name="常规 2 4 9 4" xfId="17449"/>
    <cellStyle name="常规 2 4 9 5" xfId="17450"/>
    <cellStyle name="常规 2 4_7月7反馈" xfId="17451"/>
    <cellStyle name="常规 2 40" xfId="17452"/>
    <cellStyle name="常规 2 41" xfId="17453"/>
    <cellStyle name="常规 2 42" xfId="17454"/>
    <cellStyle name="常规 2 43" xfId="17455"/>
    <cellStyle name="常规 2 5" xfId="17456"/>
    <cellStyle name="常规 2 5 2" xfId="17457"/>
    <cellStyle name="常规 2 5 2 2" xfId="17458"/>
    <cellStyle name="常规 2 5 2 3" xfId="17459"/>
    <cellStyle name="常规 2 5 2 4" xfId="17460"/>
    <cellStyle name="常规 2 5 2 5" xfId="17461"/>
    <cellStyle name="常规 2 5 3" xfId="17462"/>
    <cellStyle name="常规 2 5 3 2" xfId="17463"/>
    <cellStyle name="常规 2 5 4" xfId="17464"/>
    <cellStyle name="常规 2 5 4 2" xfId="17465"/>
    <cellStyle name="常规 2 5 5" xfId="17466"/>
    <cellStyle name="常规 2 5 6" xfId="17467"/>
    <cellStyle name="常规 2 5 7" xfId="17468"/>
    <cellStyle name="常规 2 6" xfId="17469"/>
    <cellStyle name="常规 2 6 10" xfId="17470"/>
    <cellStyle name="常规 2 6 10 2" xfId="17471"/>
    <cellStyle name="常规 2 6 11" xfId="17472"/>
    <cellStyle name="常规 2 6 12" xfId="17473"/>
    <cellStyle name="常规 2 6 2" xfId="17474"/>
    <cellStyle name="常规 2 6 2 2" xfId="17475"/>
    <cellStyle name="常规 2 6 2 2 2" xfId="17476"/>
    <cellStyle name="常规 2 6 2 2 2 2" xfId="17477"/>
    <cellStyle name="常规 2 6 2 2 2 2 2" xfId="17478"/>
    <cellStyle name="常规 2 6 2 2 2 2 2 2" xfId="17479"/>
    <cellStyle name="常规 2 6 2 2 2 2 2 2 2" xfId="17480"/>
    <cellStyle name="常规 2 6 2 2 2 2 2 3" xfId="17481"/>
    <cellStyle name="常规 2 6 2 2 2 2 2 4" xfId="17482"/>
    <cellStyle name="常规 2 6 2 2 2 2 2 5" xfId="17483"/>
    <cellStyle name="常规 2 6 2 2 2 2 3" xfId="17484"/>
    <cellStyle name="常规 2 6 2 2 2 2 3 2" xfId="17485"/>
    <cellStyle name="常规 2 6 2 2 2 2 3 3" xfId="17486"/>
    <cellStyle name="常规 2 6 2 2 2 2 4" xfId="17487"/>
    <cellStyle name="常规 2 6 2 2 2 2 4 2" xfId="17488"/>
    <cellStyle name="常规 2 6 2 2 2 2 5" xfId="17489"/>
    <cellStyle name="常规 2 6 2 2 2 2 5 2" xfId="17490"/>
    <cellStyle name="常规 2 6 2 2 2 2 6" xfId="17491"/>
    <cellStyle name="常规 2 6 2 2 2 2 7" xfId="17492"/>
    <cellStyle name="常规 2 6 2 2 2 3" xfId="17493"/>
    <cellStyle name="常规 2 6 2 2 2 3 2" xfId="17494"/>
    <cellStyle name="常规 2 6 2 2 2 3 2 2" xfId="17495"/>
    <cellStyle name="常规 2 6 2 2 2 3 3" xfId="17496"/>
    <cellStyle name="常规 2 6 2 2 2 3 4" xfId="17497"/>
    <cellStyle name="常规 2 6 2 2 2 3 5" xfId="17498"/>
    <cellStyle name="常规 2 6 2 2 2 4" xfId="17499"/>
    <cellStyle name="常规 2 6 2 2 2 4 2" xfId="17500"/>
    <cellStyle name="常规 2 6 2 2 2 4 3" xfId="17501"/>
    <cellStyle name="常规 2 6 2 2 2 5" xfId="17502"/>
    <cellStyle name="常规 2 6 2 2 2 5 2" xfId="17503"/>
    <cellStyle name="常规 2 6 2 2 2 6" xfId="17504"/>
    <cellStyle name="常规 2 6 2 2 2 6 2" xfId="17505"/>
    <cellStyle name="常规 2 6 2 2 2 7" xfId="17506"/>
    <cellStyle name="常规 2 6 2 2 2 8" xfId="17507"/>
    <cellStyle name="常规 2 6 2 2 3" xfId="17508"/>
    <cellStyle name="常规 2 6 2 2 3 2" xfId="17509"/>
    <cellStyle name="常规 2 6 2 2 3 2 2" xfId="17510"/>
    <cellStyle name="常规 2 6 2 2 3 2 2 2" xfId="17511"/>
    <cellStyle name="常规 2 6 2 2 3 2 3" xfId="17512"/>
    <cellStyle name="常规 2 6 2 2 3 2 4" xfId="17513"/>
    <cellStyle name="常规 2 6 2 2 3 2 5" xfId="17514"/>
    <cellStyle name="常规 2 6 2 2 3 3" xfId="17515"/>
    <cellStyle name="常规 2 6 2 2 3 3 2" xfId="17516"/>
    <cellStyle name="常规 2 6 2 2 3 3 3" xfId="17517"/>
    <cellStyle name="常规 2 6 2 2 3 4" xfId="17518"/>
    <cellStyle name="常规 2 6 2 2 3 4 2" xfId="17519"/>
    <cellStyle name="常规 2 6 2 2 3 5" xfId="17520"/>
    <cellStyle name="常规 2 6 2 2 3 5 2" xfId="17521"/>
    <cellStyle name="常规 2 6 2 2 3 6" xfId="17522"/>
    <cellStyle name="常规 2 6 2 2 3 7" xfId="17523"/>
    <cellStyle name="常规 2 6 2 2 4" xfId="17524"/>
    <cellStyle name="常规 2 6 2 2 4 2" xfId="17525"/>
    <cellStyle name="常规 2 6 2 2 4 2 2" xfId="17526"/>
    <cellStyle name="常规 2 6 2 2 4 3" xfId="17527"/>
    <cellStyle name="常规 2 6 2 2 4 4" xfId="17528"/>
    <cellStyle name="常规 2 6 2 2 4 5" xfId="17529"/>
    <cellStyle name="常规 2 6 2 2 5" xfId="17530"/>
    <cellStyle name="常规 2 6 2 2 5 2" xfId="17531"/>
    <cellStyle name="常规 2 6 2 2 5 3" xfId="17532"/>
    <cellStyle name="常规 2 6 2 2 6" xfId="17533"/>
    <cellStyle name="常规 2 6 2 2 6 2" xfId="17534"/>
    <cellStyle name="常规 2 6 2 2 7" xfId="17535"/>
    <cellStyle name="常规 2 6 2 2 7 2" xfId="17536"/>
    <cellStyle name="常规 2 6 2 2 8" xfId="17537"/>
    <cellStyle name="常规 2 6 2 2 9" xfId="17538"/>
    <cellStyle name="常规 2 6 2 3" xfId="17539"/>
    <cellStyle name="常规 2 6 2 3 2" xfId="17540"/>
    <cellStyle name="常规 2 6 2 3 2 2" xfId="17541"/>
    <cellStyle name="常规 2 6 2 3 2 2 2" xfId="17542"/>
    <cellStyle name="常规 2 6 2 3 2 2 2 2" xfId="17543"/>
    <cellStyle name="常规 2 6 2 3 2 2 3" xfId="17544"/>
    <cellStyle name="常规 2 6 2 3 2 2 4" xfId="17545"/>
    <cellStyle name="常规 2 6 2 3 2 2 5" xfId="17546"/>
    <cellStyle name="常规 2 6 2 3 2 3" xfId="17547"/>
    <cellStyle name="常规 2 6 2 3 2 3 2" xfId="17548"/>
    <cellStyle name="常规 2 6 2 3 2 3 3" xfId="17549"/>
    <cellStyle name="常规 2 6 2 3 2 4" xfId="17550"/>
    <cellStyle name="常规 2 6 2 3 2 4 2" xfId="17551"/>
    <cellStyle name="常规 2 6 2 3 2 5" xfId="17552"/>
    <cellStyle name="常规 2 6 2 3 2 5 2" xfId="17553"/>
    <cellStyle name="常规 2 6 2 3 2 6" xfId="17554"/>
    <cellStyle name="常规 2 6 2 3 2 7" xfId="17555"/>
    <cellStyle name="常规 2 6 2 3 3" xfId="17556"/>
    <cellStyle name="常规 2 6 2 3 3 2" xfId="17557"/>
    <cellStyle name="常规 2 6 2 3 3 2 2" xfId="17558"/>
    <cellStyle name="常规 2 6 2 3 3 3" xfId="17559"/>
    <cellStyle name="常规 2 6 2 3 3 4" xfId="17560"/>
    <cellStyle name="常规 2 6 2 3 3 5" xfId="17561"/>
    <cellStyle name="常规 2 6 2 3 4" xfId="17562"/>
    <cellStyle name="常规 2 6 2 3 4 2" xfId="17563"/>
    <cellStyle name="常规 2 6 2 3 4 3" xfId="17564"/>
    <cellStyle name="常规 2 6 2 3 5" xfId="17565"/>
    <cellStyle name="常规 2 6 2 3 5 2" xfId="17566"/>
    <cellStyle name="常规 2 6 2 3 6" xfId="17567"/>
    <cellStyle name="常规 2 6 2 3 6 2" xfId="17568"/>
    <cellStyle name="常规 2 6 2 3 7" xfId="17569"/>
    <cellStyle name="常规 2 6 2 3 8" xfId="17570"/>
    <cellStyle name="常规 2 6 2 4" xfId="17571"/>
    <cellStyle name="常规 2 6 2 4 2" xfId="17572"/>
    <cellStyle name="常规 2 6 2 4 2 2" xfId="17573"/>
    <cellStyle name="常规 2 6 2 4 2 2 2" xfId="17574"/>
    <cellStyle name="常规 2 6 2 4 2 2 3" xfId="17575"/>
    <cellStyle name="常规 2 6 2 4 2 3" xfId="17576"/>
    <cellStyle name="常规 2 6 2 4 2 3 2" xfId="17577"/>
    <cellStyle name="常规 2 6 2 4 2 4" xfId="17578"/>
    <cellStyle name="常规 2 6 2 4 2 4 2" xfId="17579"/>
    <cellStyle name="常规 2 6 2 4 2 5" xfId="17580"/>
    <cellStyle name="常规 2 6 2 4 2 6" xfId="17581"/>
    <cellStyle name="常规 2 6 2 4 2 7" xfId="17582"/>
    <cellStyle name="常规 2 6 2 4 3" xfId="17583"/>
    <cellStyle name="常规 2 6 2 4 3 2" xfId="17584"/>
    <cellStyle name="常规 2 6 2 4 3 3" xfId="17585"/>
    <cellStyle name="常规 2 6 2 4 4" xfId="17586"/>
    <cellStyle name="常规 2 6 2 4 4 2" xfId="17587"/>
    <cellStyle name="常规 2 6 2 4 5" xfId="17588"/>
    <cellStyle name="常规 2 6 2 4 5 2" xfId="17589"/>
    <cellStyle name="常规 2 6 2 4 6" xfId="17590"/>
    <cellStyle name="常规 2 6 2 4 7" xfId="17591"/>
    <cellStyle name="常规 2 6 2 4 8" xfId="17592"/>
    <cellStyle name="常规 2 6 2 5" xfId="17593"/>
    <cellStyle name="常规 2 6 2 5 2" xfId="17594"/>
    <cellStyle name="常规 2 6 2 5 2 2" xfId="17595"/>
    <cellStyle name="常规 2 6 2 5 3" xfId="17596"/>
    <cellStyle name="常规 2 6 2 5 4" xfId="17597"/>
    <cellStyle name="常规 2 6 2 6" xfId="17598"/>
    <cellStyle name="常规 2 6 2 6 2" xfId="17599"/>
    <cellStyle name="常规 2 6 2 7" xfId="17600"/>
    <cellStyle name="常规 2 6 2 8" xfId="17601"/>
    <cellStyle name="常规 2 6 2 9" xfId="17602"/>
    <cellStyle name="常规 2 6 3" xfId="17603"/>
    <cellStyle name="常规 2 6 3 2" xfId="17604"/>
    <cellStyle name="常规 2 6 3 2 2" xfId="17605"/>
    <cellStyle name="常规 2 6 3 2 2 2" xfId="17606"/>
    <cellStyle name="常规 2 6 3 2 2 2 2" xfId="17607"/>
    <cellStyle name="常规 2 6 3 2 2 2 2 2" xfId="17608"/>
    <cellStyle name="常规 2 6 3 2 2 2 3" xfId="17609"/>
    <cellStyle name="常规 2 6 3 2 2 2 4" xfId="17610"/>
    <cellStyle name="常规 2 6 3 2 2 3" xfId="17611"/>
    <cellStyle name="常规 2 6 3 2 2 3 2" xfId="17612"/>
    <cellStyle name="常规 2 6 3 2 2 4" xfId="17613"/>
    <cellStyle name="常规 2 6 3 2 2 5" xfId="17614"/>
    <cellStyle name="常规 2 6 3 2 3" xfId="17615"/>
    <cellStyle name="常规 2 6 3 2 3 2" xfId="17616"/>
    <cellStyle name="常规 2 6 3 2 3 2 2" xfId="17617"/>
    <cellStyle name="常规 2 6 3 2 3 3" xfId="17618"/>
    <cellStyle name="常规 2 6 3 2 3 4" xfId="17619"/>
    <cellStyle name="常规 2 6 3 2 4" xfId="17620"/>
    <cellStyle name="常规 2 6 3 2 4 2" xfId="17621"/>
    <cellStyle name="常规 2 6 3 2 5" xfId="17622"/>
    <cellStyle name="常规 2 6 3 2 6" xfId="17623"/>
    <cellStyle name="常规 2 6 3 3" xfId="17624"/>
    <cellStyle name="常规 2 6 3 3 2" xfId="17625"/>
    <cellStyle name="常规 2 6 3 3 2 2" xfId="17626"/>
    <cellStyle name="常规 2 6 3 3 2 2 2" xfId="17627"/>
    <cellStyle name="常规 2 6 3 3 2 3" xfId="17628"/>
    <cellStyle name="常规 2 6 3 3 2 4" xfId="17629"/>
    <cellStyle name="常规 2 6 3 3 3" xfId="17630"/>
    <cellStyle name="常规 2 6 3 3 3 2" xfId="17631"/>
    <cellStyle name="常规 2 6 3 3 4" xfId="17632"/>
    <cellStyle name="常规 2 6 3 3 5" xfId="17633"/>
    <cellStyle name="常规 2 6 3 4" xfId="17634"/>
    <cellStyle name="常规 2 6 3 4 2" xfId="17635"/>
    <cellStyle name="常规 2 6 3 4 2 2" xfId="17636"/>
    <cellStyle name="常规 2 6 3 4 3" xfId="17637"/>
    <cellStyle name="常规 2 6 3 4 4" xfId="17638"/>
    <cellStyle name="常规 2 6 3 5" xfId="17639"/>
    <cellStyle name="常规 2 6 3 5 2" xfId="17640"/>
    <cellStyle name="常规 2 6 3 6" xfId="17641"/>
    <cellStyle name="常规 2 6 3 7" xfId="17642"/>
    <cellStyle name="常规 2 6 3 8" xfId="17643"/>
    <cellStyle name="常规 2 6 4" xfId="17644"/>
    <cellStyle name="常规 2 6 4 10" xfId="17645"/>
    <cellStyle name="常规 2 6 4 2" xfId="17646"/>
    <cellStyle name="常规 2 6 4 2 2" xfId="17647"/>
    <cellStyle name="常规 2 6 4 2 2 2" xfId="17648"/>
    <cellStyle name="常规 2 6 4 2 2 2 2" xfId="17649"/>
    <cellStyle name="常规 2 6 4 2 2 2 2 2" xfId="17650"/>
    <cellStyle name="常规 2 6 4 2 2 2 2 3" xfId="17651"/>
    <cellStyle name="常规 2 6 4 2 2 2 3" xfId="17652"/>
    <cellStyle name="常规 2 6 4 2 2 2 3 2" xfId="17653"/>
    <cellStyle name="常规 2 6 4 2 2 2 4" xfId="17654"/>
    <cellStyle name="常规 2 6 4 2 2 2 4 2" xfId="17655"/>
    <cellStyle name="常规 2 6 4 2 2 2 5" xfId="17656"/>
    <cellStyle name="常规 2 6 4 2 2 2 6" xfId="17657"/>
    <cellStyle name="常规 2 6 4 2 2 2 7" xfId="17658"/>
    <cellStyle name="常规 2 6 4 2 2 3" xfId="17659"/>
    <cellStyle name="常规 2 6 4 2 2 3 2" xfId="17660"/>
    <cellStyle name="常规 2 6 4 2 2 3 3" xfId="17661"/>
    <cellStyle name="常规 2 6 4 2 2 4" xfId="17662"/>
    <cellStyle name="常规 2 6 4 2 2 4 2" xfId="17663"/>
    <cellStyle name="常规 2 6 4 2 2 5" xfId="17664"/>
    <cellStyle name="常规 2 6 4 2 2 5 2" xfId="17665"/>
    <cellStyle name="常规 2 6 4 2 2 6" xfId="17666"/>
    <cellStyle name="常规 2 6 4 2 2 7" xfId="17667"/>
    <cellStyle name="常规 2 6 4 2 2 8" xfId="17668"/>
    <cellStyle name="常规 2 6 4 2 3" xfId="17669"/>
    <cellStyle name="常规 2 6 4 2 3 2" xfId="17670"/>
    <cellStyle name="常规 2 6 4 2 3 2 2" xfId="17671"/>
    <cellStyle name="常规 2 6 4 2 3 2 3" xfId="17672"/>
    <cellStyle name="常规 2 6 4 2 3 3" xfId="17673"/>
    <cellStyle name="常规 2 6 4 2 3 3 2" xfId="17674"/>
    <cellStyle name="常规 2 6 4 2 3 4" xfId="17675"/>
    <cellStyle name="常规 2 6 4 2 3 4 2" xfId="17676"/>
    <cellStyle name="常规 2 6 4 2 3 5" xfId="17677"/>
    <cellStyle name="常规 2 6 4 2 3 6" xfId="17678"/>
    <cellStyle name="常规 2 6 4 2 3 7" xfId="17679"/>
    <cellStyle name="常规 2 6 4 2 4" xfId="17680"/>
    <cellStyle name="常规 2 6 4 2 4 2" xfId="17681"/>
    <cellStyle name="常规 2 6 4 2 4 3" xfId="17682"/>
    <cellStyle name="常规 2 6 4 2 5" xfId="17683"/>
    <cellStyle name="常规 2 6 4 2 5 2" xfId="17684"/>
    <cellStyle name="常规 2 6 4 2 6" xfId="17685"/>
    <cellStyle name="常规 2 6 4 2 6 2" xfId="17686"/>
    <cellStyle name="常规 2 6 4 2 7" xfId="17687"/>
    <cellStyle name="常规 2 6 4 2 8" xfId="17688"/>
    <cellStyle name="常规 2 6 4 2 9" xfId="17689"/>
    <cellStyle name="常规 2 6 4 3" xfId="17690"/>
    <cellStyle name="常规 2 6 4 3 2" xfId="17691"/>
    <cellStyle name="常规 2 6 4 3 2 2" xfId="17692"/>
    <cellStyle name="常规 2 6 4 3 2 2 2" xfId="17693"/>
    <cellStyle name="常规 2 6 4 3 2 2 3" xfId="17694"/>
    <cellStyle name="常规 2 6 4 3 2 3" xfId="17695"/>
    <cellStyle name="常规 2 6 4 3 2 3 2" xfId="17696"/>
    <cellStyle name="常规 2 6 4 3 2 4" xfId="17697"/>
    <cellStyle name="常规 2 6 4 3 2 4 2" xfId="17698"/>
    <cellStyle name="常规 2 6 4 3 2 5" xfId="17699"/>
    <cellStyle name="常规 2 6 4 3 2 6" xfId="17700"/>
    <cellStyle name="常规 2 6 4 3 2 7" xfId="17701"/>
    <cellStyle name="常规 2 6 4 3 3" xfId="17702"/>
    <cellStyle name="常规 2 6 4 3 3 2" xfId="17703"/>
    <cellStyle name="常规 2 6 4 3 3 3" xfId="17704"/>
    <cellStyle name="常规 2 6 4 3 4" xfId="17705"/>
    <cellStyle name="常规 2 6 4 3 4 2" xfId="17706"/>
    <cellStyle name="常规 2 6 4 3 5" xfId="17707"/>
    <cellStyle name="常规 2 6 4 3 5 2" xfId="17708"/>
    <cellStyle name="常规 2 6 4 3 6" xfId="17709"/>
    <cellStyle name="常规 2 6 4 3 7" xfId="17710"/>
    <cellStyle name="常规 2 6 4 3 8" xfId="17711"/>
    <cellStyle name="常规 2 6 4 4" xfId="17712"/>
    <cellStyle name="常规 2 6 4 4 2" xfId="17713"/>
    <cellStyle name="常规 2 6 4 4 2 2" xfId="17714"/>
    <cellStyle name="常规 2 6 4 4 2 3" xfId="17715"/>
    <cellStyle name="常规 2 6 4 4 3" xfId="17716"/>
    <cellStyle name="常规 2 6 4 4 3 2" xfId="17717"/>
    <cellStyle name="常规 2 6 4 4 4" xfId="17718"/>
    <cellStyle name="常规 2 6 4 4 4 2" xfId="17719"/>
    <cellStyle name="常规 2 6 4 4 5" xfId="17720"/>
    <cellStyle name="常规 2 6 4 4 6" xfId="17721"/>
    <cellStyle name="常规 2 6 4 4 7" xfId="17722"/>
    <cellStyle name="常规 2 6 4 5" xfId="17723"/>
    <cellStyle name="常规 2 6 4 5 2" xfId="17724"/>
    <cellStyle name="常规 2 6 4 5 3" xfId="17725"/>
    <cellStyle name="常规 2 6 4 6" xfId="17726"/>
    <cellStyle name="常规 2 6 4 6 2" xfId="17727"/>
    <cellStyle name="常规 2 6 4 7" xfId="17728"/>
    <cellStyle name="常规 2 6 4 7 2" xfId="17729"/>
    <cellStyle name="常规 2 6 4 8" xfId="17730"/>
    <cellStyle name="常规 2 6 4 9" xfId="17731"/>
    <cellStyle name="常规 2 6 5" xfId="17732"/>
    <cellStyle name="常规 2 6 5 2" xfId="17733"/>
    <cellStyle name="常规 2 6 5 2 2" xfId="17734"/>
    <cellStyle name="常规 2 6 5 2 2 2" xfId="17735"/>
    <cellStyle name="常规 2 6 5 2 2 2 2" xfId="17736"/>
    <cellStyle name="常规 2 6 5 2 2 2 2 2" xfId="17737"/>
    <cellStyle name="常规 2 6 5 2 2 2 3" xfId="17738"/>
    <cellStyle name="常规 2 6 5 2 2 2 4" xfId="17739"/>
    <cellStyle name="常规 2 6 5 2 2 3" xfId="17740"/>
    <cellStyle name="常规 2 6 5 2 2 3 2" xfId="17741"/>
    <cellStyle name="常规 2 6 5 2 2 4" xfId="17742"/>
    <cellStyle name="常规 2 6 5 2 2 5" xfId="17743"/>
    <cellStyle name="常规 2 6 5 2 3" xfId="17744"/>
    <cellStyle name="常规 2 6 5 2 3 2" xfId="17745"/>
    <cellStyle name="常规 2 6 5 2 3 2 2" xfId="17746"/>
    <cellStyle name="常规 2 6 5 2 3 3" xfId="17747"/>
    <cellStyle name="常规 2 6 5 2 3 4" xfId="17748"/>
    <cellStyle name="常规 2 6 5 2 4" xfId="17749"/>
    <cellStyle name="常规 2 6 5 2 4 2" xfId="17750"/>
    <cellStyle name="常规 2 6 5 2 5" xfId="17751"/>
    <cellStyle name="常规 2 6 5 2 6" xfId="17752"/>
    <cellStyle name="常规 2 6 5 3" xfId="17753"/>
    <cellStyle name="常规 2 6 5 3 2" xfId="17754"/>
    <cellStyle name="常规 2 6 5 3 2 2" xfId="17755"/>
    <cellStyle name="常规 2 6 5 3 2 2 2" xfId="17756"/>
    <cellStyle name="常规 2 6 5 3 2 3" xfId="17757"/>
    <cellStyle name="常规 2 6 5 3 2 4" xfId="17758"/>
    <cellStyle name="常规 2 6 5 3 3" xfId="17759"/>
    <cellStyle name="常规 2 6 5 3 3 2" xfId="17760"/>
    <cellStyle name="常规 2 6 5 3 4" xfId="17761"/>
    <cellStyle name="常规 2 6 5 3 5" xfId="17762"/>
    <cellStyle name="常规 2 6 5 4" xfId="17763"/>
    <cellStyle name="常规 2 6 5 4 2" xfId="17764"/>
    <cellStyle name="常规 2 6 5 4 2 2" xfId="17765"/>
    <cellStyle name="常规 2 6 5 4 3" xfId="17766"/>
    <cellStyle name="常规 2 6 5 4 4" xfId="17767"/>
    <cellStyle name="常规 2 6 5 5" xfId="17768"/>
    <cellStyle name="常规 2 6 5 5 2" xfId="17769"/>
    <cellStyle name="常规 2 6 5 6" xfId="17770"/>
    <cellStyle name="常规 2 6 5 7" xfId="17771"/>
    <cellStyle name="常规 2 6 5 8" xfId="17772"/>
    <cellStyle name="常规 2 6 6" xfId="17773"/>
    <cellStyle name="常规 2 6 6 2" xfId="17774"/>
    <cellStyle name="常规 2 6 6 2 2" xfId="17775"/>
    <cellStyle name="常规 2 6 6 2 2 2" xfId="17776"/>
    <cellStyle name="常规 2 6 6 2 2 2 2" xfId="17777"/>
    <cellStyle name="常规 2 6 6 2 2 3" xfId="17778"/>
    <cellStyle name="常规 2 6 6 2 2 4" xfId="17779"/>
    <cellStyle name="常规 2 6 6 2 3" xfId="17780"/>
    <cellStyle name="常规 2 6 6 2 3 2" xfId="17781"/>
    <cellStyle name="常规 2 6 6 2 4" xfId="17782"/>
    <cellStyle name="常规 2 6 6 2 5" xfId="17783"/>
    <cellStyle name="常规 2 6 6 3" xfId="17784"/>
    <cellStyle name="常规 2 6 6 3 2" xfId="17785"/>
    <cellStyle name="常规 2 6 6 3 2 2" xfId="17786"/>
    <cellStyle name="常规 2 6 6 3 3" xfId="17787"/>
    <cellStyle name="常规 2 6 6 3 4" xfId="17788"/>
    <cellStyle name="常规 2 6 6 4" xfId="17789"/>
    <cellStyle name="常规 2 6 6 4 2" xfId="17790"/>
    <cellStyle name="常规 2 6 6 5" xfId="17791"/>
    <cellStyle name="常规 2 6 6 6" xfId="17792"/>
    <cellStyle name="常规 2 6 6 7" xfId="17793"/>
    <cellStyle name="常规 2 6 7" xfId="17794"/>
    <cellStyle name="常规 2 6 7 2" xfId="17795"/>
    <cellStyle name="常规 2 6 7 2 2" xfId="17796"/>
    <cellStyle name="常规 2 6 7 2 2 2" xfId="17797"/>
    <cellStyle name="常规 2 6 7 2 3" xfId="17798"/>
    <cellStyle name="常规 2 6 7 2 4" xfId="17799"/>
    <cellStyle name="常规 2 6 7 3" xfId="17800"/>
    <cellStyle name="常规 2 6 7 3 2" xfId="17801"/>
    <cellStyle name="常规 2 6 7 4" xfId="17802"/>
    <cellStyle name="常规 2 6 7 5" xfId="17803"/>
    <cellStyle name="常规 2 6 8" xfId="17804"/>
    <cellStyle name="常规 2 6 8 2" xfId="17805"/>
    <cellStyle name="常规 2 6 8 2 2" xfId="17806"/>
    <cellStyle name="常规 2 6 8 2 2 2" xfId="17807"/>
    <cellStyle name="常规 2 6 8 2 3" xfId="17808"/>
    <cellStyle name="常规 2 6 8 2 4" xfId="17809"/>
    <cellStyle name="常规 2 6 8 3" xfId="17810"/>
    <cellStyle name="常规 2 6 8 3 2" xfId="17811"/>
    <cellStyle name="常规 2 6 8 4" xfId="17812"/>
    <cellStyle name="常规 2 6 8 5" xfId="17813"/>
    <cellStyle name="常规 2 6 9" xfId="17814"/>
    <cellStyle name="常规 2 6 9 2" xfId="17815"/>
    <cellStyle name="常规 2 7" xfId="17816"/>
    <cellStyle name="常规 2 7 10" xfId="17817"/>
    <cellStyle name="常规 2 7 11" xfId="17818"/>
    <cellStyle name="常规 2 7 12" xfId="17819"/>
    <cellStyle name="常规 2 7 2" xfId="17820"/>
    <cellStyle name="常规 2 7 2 10" xfId="17821"/>
    <cellStyle name="常规 2 7 2 2" xfId="17822"/>
    <cellStyle name="常规 2 7 2 2 2" xfId="17823"/>
    <cellStyle name="常规 2 7 2 2 2 2" xfId="17824"/>
    <cellStyle name="常规 2 7 2 2 2 2 2" xfId="17825"/>
    <cellStyle name="常规 2 7 2 2 2 2 2 2" xfId="17826"/>
    <cellStyle name="常规 2 7 2 2 2 2 3" xfId="17827"/>
    <cellStyle name="常规 2 7 2 2 2 2 4" xfId="17828"/>
    <cellStyle name="常规 2 7 2 2 2 3" xfId="17829"/>
    <cellStyle name="常规 2 7 2 2 2 3 2" xfId="17830"/>
    <cellStyle name="常规 2 7 2 2 2 4" xfId="17831"/>
    <cellStyle name="常规 2 7 2 2 2 5" xfId="17832"/>
    <cellStyle name="常规 2 7 2 2 2 6" xfId="17833"/>
    <cellStyle name="常规 2 7 2 2 3" xfId="17834"/>
    <cellStyle name="常规 2 7 2 2 3 2" xfId="17835"/>
    <cellStyle name="常规 2 7 2 2 3 2 2" xfId="17836"/>
    <cellStyle name="常规 2 7 2 2 3 2 3" xfId="17837"/>
    <cellStyle name="常规 2 7 2 2 3 3" xfId="17838"/>
    <cellStyle name="常规 2 7 2 2 3 3 2" xfId="17839"/>
    <cellStyle name="常规 2 7 2 2 3 4" xfId="17840"/>
    <cellStyle name="常规 2 7 2 2 3 4 2" xfId="17841"/>
    <cellStyle name="常规 2 7 2 2 3 5" xfId="17842"/>
    <cellStyle name="常规 2 7 2 2 3 6" xfId="17843"/>
    <cellStyle name="常规 2 7 2 2 3 7" xfId="17844"/>
    <cellStyle name="常规 2 7 2 2 4" xfId="17845"/>
    <cellStyle name="常规 2 7 2 2 4 2" xfId="17846"/>
    <cellStyle name="常规 2 7 2 2 4 3" xfId="17847"/>
    <cellStyle name="常规 2 7 2 2 5" xfId="17848"/>
    <cellStyle name="常规 2 7 2 2 5 2" xfId="17849"/>
    <cellStyle name="常规 2 7 2 2 6" xfId="17850"/>
    <cellStyle name="常规 2 7 2 2 6 2" xfId="17851"/>
    <cellStyle name="常规 2 7 2 2 7" xfId="17852"/>
    <cellStyle name="常规 2 7 2 2 8" xfId="17853"/>
    <cellStyle name="常规 2 7 2 2 9" xfId="17854"/>
    <cellStyle name="常规 2 7 2 3" xfId="17855"/>
    <cellStyle name="常规 2 7 2 3 2" xfId="17856"/>
    <cellStyle name="常规 2 7 2 3 2 2" xfId="17857"/>
    <cellStyle name="常规 2 7 2 3 2 2 2" xfId="17858"/>
    <cellStyle name="常规 2 7 2 3 2 2 3" xfId="17859"/>
    <cellStyle name="常规 2 7 2 3 2 3" xfId="17860"/>
    <cellStyle name="常规 2 7 2 3 2 3 2" xfId="17861"/>
    <cellStyle name="常规 2 7 2 3 2 4" xfId="17862"/>
    <cellStyle name="常规 2 7 2 3 2 4 2" xfId="17863"/>
    <cellStyle name="常规 2 7 2 3 2 5" xfId="17864"/>
    <cellStyle name="常规 2 7 2 3 2 6" xfId="17865"/>
    <cellStyle name="常规 2 7 2 3 2 7" xfId="17866"/>
    <cellStyle name="常规 2 7 2 3 3" xfId="17867"/>
    <cellStyle name="常规 2 7 2 3 3 2" xfId="17868"/>
    <cellStyle name="常规 2 7 2 3 3 3" xfId="17869"/>
    <cellStyle name="常规 2 7 2 3 4" xfId="17870"/>
    <cellStyle name="常规 2 7 2 3 4 2" xfId="17871"/>
    <cellStyle name="常规 2 7 2 3 5" xfId="17872"/>
    <cellStyle name="常规 2 7 2 3 5 2" xfId="17873"/>
    <cellStyle name="常规 2 7 2 3 6" xfId="17874"/>
    <cellStyle name="常规 2 7 2 3 7" xfId="17875"/>
    <cellStyle name="常规 2 7 2 3 8" xfId="17876"/>
    <cellStyle name="常规 2 7 2 4" xfId="17877"/>
    <cellStyle name="常规 2 7 2 4 2" xfId="17878"/>
    <cellStyle name="常规 2 7 2 4 2 2" xfId="17879"/>
    <cellStyle name="常规 2 7 2 4 2 3" xfId="17880"/>
    <cellStyle name="常规 2 7 2 4 3" xfId="17881"/>
    <cellStyle name="常规 2 7 2 4 3 2" xfId="17882"/>
    <cellStyle name="常规 2 7 2 4 4" xfId="17883"/>
    <cellStyle name="常规 2 7 2 4 4 2" xfId="17884"/>
    <cellStyle name="常规 2 7 2 4 5" xfId="17885"/>
    <cellStyle name="常规 2 7 2 4 6" xfId="17886"/>
    <cellStyle name="常规 2 7 2 4 7" xfId="17887"/>
    <cellStyle name="常规 2 7 2 5" xfId="17888"/>
    <cellStyle name="常规 2 7 2 5 2" xfId="17889"/>
    <cellStyle name="常规 2 7 2 5 3" xfId="17890"/>
    <cellStyle name="常规 2 7 2 6" xfId="17891"/>
    <cellStyle name="常规 2 7 2 6 2" xfId="17892"/>
    <cellStyle name="常规 2 7 2 7" xfId="17893"/>
    <cellStyle name="常规 2 7 2 7 2" xfId="17894"/>
    <cellStyle name="常规 2 7 2 8" xfId="17895"/>
    <cellStyle name="常规 2 7 2 8 2" xfId="17896"/>
    <cellStyle name="常规 2 7 2 9" xfId="17897"/>
    <cellStyle name="常规 2 7 3" xfId="17898"/>
    <cellStyle name="常规 2 7 3 10" xfId="17899"/>
    <cellStyle name="常规 2 7 3 11" xfId="17900"/>
    <cellStyle name="常规 2 7 3 2" xfId="17901"/>
    <cellStyle name="常规 2 7 3 2 2" xfId="17902"/>
    <cellStyle name="常规 2 7 3 2 2 2" xfId="17903"/>
    <cellStyle name="常规 2 7 3 2 2 2 2" xfId="17904"/>
    <cellStyle name="常规 2 7 3 2 2 2 3" xfId="17905"/>
    <cellStyle name="常规 2 7 3 2 2 2 4" xfId="17906"/>
    <cellStyle name="常规 2 7 3 2 2 2 5" xfId="17907"/>
    <cellStyle name="常规 2 7 3 2 2 2 6" xfId="17908"/>
    <cellStyle name="常规 2 7 3 2 2 2 7" xfId="17909"/>
    <cellStyle name="常规 2 7 3 2 2 2 8" xfId="17910"/>
    <cellStyle name="常规 2 7 3 2 2 3" xfId="17911"/>
    <cellStyle name="常规 2 7 3 2 2 3 2" xfId="17912"/>
    <cellStyle name="常规 2 7 3 2 2 4" xfId="17913"/>
    <cellStyle name="常规 2 7 3 2 2 4 2" xfId="17914"/>
    <cellStyle name="常规 2 7 3 2 2 5" xfId="17915"/>
    <cellStyle name="常规 2 7 3 2 2 6" xfId="17916"/>
    <cellStyle name="常规 2 7 3 2 2 7" xfId="17917"/>
    <cellStyle name="常规 2 7 3 2 2 8" xfId="17918"/>
    <cellStyle name="常规 2 7 3 2 3" xfId="17919"/>
    <cellStyle name="常规 2 7 3 2 3 2" xfId="17920"/>
    <cellStyle name="常规 2 7 3 2 3 3" xfId="17921"/>
    <cellStyle name="常规 2 7 3 2 3 4" xfId="17922"/>
    <cellStyle name="常规 2 7 3 2 3 5" xfId="17923"/>
    <cellStyle name="常规 2 7 3 2 3 6" xfId="17924"/>
    <cellStyle name="常规 2 7 3 2 3 7" xfId="17925"/>
    <cellStyle name="常规 2 7 3 2 3 8" xfId="17926"/>
    <cellStyle name="常规 2 7 3 2 4" xfId="17927"/>
    <cellStyle name="常规 2 7 3 2 4 2" xfId="17928"/>
    <cellStyle name="常规 2 7 3 2 5" xfId="17929"/>
    <cellStyle name="常规 2 7 3 2 5 2" xfId="17930"/>
    <cellStyle name="常规 2 7 3 2 6" xfId="17931"/>
    <cellStyle name="常规 2 7 3 2 7" xfId="17932"/>
    <cellStyle name="常规 2 7 3 2 8" xfId="17933"/>
    <cellStyle name="常规 2 7 3 2 9" xfId="17934"/>
    <cellStyle name="常规 2 7 3 3" xfId="17935"/>
    <cellStyle name="常规 2 7 3 3 2" xfId="17936"/>
    <cellStyle name="常规 2 7 3 3 2 2" xfId="17937"/>
    <cellStyle name="常规 2 7 3 3 2 3" xfId="17938"/>
    <cellStyle name="常规 2 7 3 3 2 4" xfId="17939"/>
    <cellStyle name="常规 2 7 3 3 2 5" xfId="17940"/>
    <cellStyle name="常规 2 7 3 3 2 6" xfId="17941"/>
    <cellStyle name="常规 2 7 3 3 2 7" xfId="17942"/>
    <cellStyle name="常规 2 7 3 3 2 8" xfId="17943"/>
    <cellStyle name="常规 2 7 3 3 3" xfId="17944"/>
    <cellStyle name="常规 2 7 3 3 3 2" xfId="17945"/>
    <cellStyle name="常规 2 7 3 3 4" xfId="17946"/>
    <cellStyle name="常规 2 7 3 3 4 2" xfId="17947"/>
    <cellStyle name="常规 2 7 3 3 5" xfId="17948"/>
    <cellStyle name="常规 2 7 3 3 6" xfId="17949"/>
    <cellStyle name="常规 2 7 3 3 7" xfId="17950"/>
    <cellStyle name="常规 2 7 3 3 8" xfId="17951"/>
    <cellStyle name="常规 2 7 3 4" xfId="17952"/>
    <cellStyle name="常规 2 7 3 4 2" xfId="17953"/>
    <cellStyle name="常规 2 7 3 4 2 2" xfId="17954"/>
    <cellStyle name="常规 2 7 3 4 2 3" xfId="17955"/>
    <cellStyle name="常规 2 7 3 4 2 4" xfId="17956"/>
    <cellStyle name="常规 2 7 3 4 2 5" xfId="17957"/>
    <cellStyle name="常规 2 7 3 4 2 6" xfId="17958"/>
    <cellStyle name="常规 2 7 3 4 3" xfId="17959"/>
    <cellStyle name="常规 2 7 3 4 4" xfId="17960"/>
    <cellStyle name="常规 2 7 3 4 5" xfId="17961"/>
    <cellStyle name="常规 2 7 3 4 6" xfId="17962"/>
    <cellStyle name="常规 2 7 3 4 7" xfId="17963"/>
    <cellStyle name="常规 2 7 3 4 8" xfId="17964"/>
    <cellStyle name="常规 2 7 3 4 9" xfId="17965"/>
    <cellStyle name="常规 2 7 3 5" xfId="17966"/>
    <cellStyle name="常规 2 7 3 5 2" xfId="17967"/>
    <cellStyle name="常规 2 7 3 5 3" xfId="17968"/>
    <cellStyle name="常规 2 7 3 5 4" xfId="17969"/>
    <cellStyle name="常规 2 7 3 5 5" xfId="17970"/>
    <cellStyle name="常规 2 7 3 5 6" xfId="17971"/>
    <cellStyle name="常规 2 7 3 5 7" xfId="17972"/>
    <cellStyle name="常规 2 7 3 6" xfId="17973"/>
    <cellStyle name="常规 2 7 3 6 2" xfId="17974"/>
    <cellStyle name="常规 2 7 3 7" xfId="17975"/>
    <cellStyle name="常规 2 7 3 7 2" xfId="17976"/>
    <cellStyle name="常规 2 7 3 8" xfId="17977"/>
    <cellStyle name="常规 2 7 3 9" xfId="17978"/>
    <cellStyle name="常规 2 7 4" xfId="17979"/>
    <cellStyle name="常规 2 7 4 2" xfId="17980"/>
    <cellStyle name="常规 2 7 4 2 2" xfId="17981"/>
    <cellStyle name="常规 2 7 4 2 2 2" xfId="17982"/>
    <cellStyle name="常规 2 7 4 2 3" xfId="17983"/>
    <cellStyle name="常规 2 7 4 2 4" xfId="17984"/>
    <cellStyle name="常规 2 7 4 2 5" xfId="17985"/>
    <cellStyle name="常规 2 7 4 3" xfId="17986"/>
    <cellStyle name="常规 2 7 4 3 2" xfId="17987"/>
    <cellStyle name="常规 2 7 4 4" xfId="17988"/>
    <cellStyle name="常规 2 7 4 5" xfId="17989"/>
    <cellStyle name="常规 2 7 4 6" xfId="17990"/>
    <cellStyle name="常规 2 7 4 7" xfId="17991"/>
    <cellStyle name="常规 2 7 5" xfId="17992"/>
    <cellStyle name="常规 2 7 5 2" xfId="17993"/>
    <cellStyle name="常规 2 7 5 2 2" xfId="17994"/>
    <cellStyle name="常规 2 7 5 2 2 2" xfId="17995"/>
    <cellStyle name="常规 2 7 5 2 3" xfId="17996"/>
    <cellStyle name="常规 2 7 5 2 4" xfId="17997"/>
    <cellStyle name="常规 2 7 5 3" xfId="17998"/>
    <cellStyle name="常规 2 7 5 3 2" xfId="17999"/>
    <cellStyle name="常规 2 7 5 4" xfId="18000"/>
    <cellStyle name="常规 2 7 5 5" xfId="18001"/>
    <cellStyle name="常规 2 7 5 6" xfId="18002"/>
    <cellStyle name="常规 2 7 6" xfId="18003"/>
    <cellStyle name="常规 2 7 6 2" xfId="18004"/>
    <cellStyle name="常规 2 7 6 3" xfId="18005"/>
    <cellStyle name="常规 2 7 6 4" xfId="18006"/>
    <cellStyle name="常规 2 7 6 5" xfId="18007"/>
    <cellStyle name="常规 2 7 6 6" xfId="18008"/>
    <cellStyle name="常规 2 7 6 7" xfId="18009"/>
    <cellStyle name="常规 2 7 7" xfId="18010"/>
    <cellStyle name="常规 2 7 8" xfId="18011"/>
    <cellStyle name="常规 2 7 9" xfId="18012"/>
    <cellStyle name="常规 2 8" xfId="18013"/>
    <cellStyle name="常规 2 8 10" xfId="18014"/>
    <cellStyle name="常规 2 8 2" xfId="18015"/>
    <cellStyle name="常规 2 8 2 2" xfId="18016"/>
    <cellStyle name="常规 2 8 2 2 2" xfId="18017"/>
    <cellStyle name="常规 2 8 2 2 2 2" xfId="18018"/>
    <cellStyle name="常规 2 8 2 2 2 2 2" xfId="18019"/>
    <cellStyle name="常规 2 8 2 2 2 3" xfId="18020"/>
    <cellStyle name="常规 2 8 2 2 2 4" xfId="18021"/>
    <cellStyle name="常规 2 8 2 2 3" xfId="18022"/>
    <cellStyle name="常规 2 8 2 2 3 2" xfId="18023"/>
    <cellStyle name="常规 2 8 2 2 3 2 2" xfId="18024"/>
    <cellStyle name="常规 2 8 2 2 3 3" xfId="18025"/>
    <cellStyle name="常规 2 8 2 2 3 4" xfId="18026"/>
    <cellStyle name="常规 2 8 2 2 4" xfId="18027"/>
    <cellStyle name="常规 2 8 2 2 4 2" xfId="18028"/>
    <cellStyle name="常规 2 8 2 2 5" xfId="18029"/>
    <cellStyle name="常规 2 8 2 2 6" xfId="18030"/>
    <cellStyle name="常规 2 8 2 3" xfId="18031"/>
    <cellStyle name="常规 2 8 2 3 2" xfId="18032"/>
    <cellStyle name="常规 2 8 2 3 2 2" xfId="18033"/>
    <cellStyle name="常规 2 8 2 3 3" xfId="18034"/>
    <cellStyle name="常规 2 8 2 3 4" xfId="18035"/>
    <cellStyle name="常规 2 8 2 4" xfId="18036"/>
    <cellStyle name="常规 2 8 2 4 2" xfId="18037"/>
    <cellStyle name="常规 2 8 2 4 2 2" xfId="18038"/>
    <cellStyle name="常规 2 8 2 4 3" xfId="18039"/>
    <cellStyle name="常规 2 8 2 4 4" xfId="18040"/>
    <cellStyle name="常规 2 8 2 5" xfId="18041"/>
    <cellStyle name="常规 2 8 2 5 2" xfId="18042"/>
    <cellStyle name="常规 2 8 2 6" xfId="18043"/>
    <cellStyle name="常规 2 8 2 7" xfId="18044"/>
    <cellStyle name="常规 2 8 2 8" xfId="18045"/>
    <cellStyle name="常规 2 8 3" xfId="18046"/>
    <cellStyle name="常规 2 8 3 2" xfId="18047"/>
    <cellStyle name="常规 2 8 3 2 2" xfId="18048"/>
    <cellStyle name="常规 2 8 3 2 2 2" xfId="18049"/>
    <cellStyle name="常规 2 8 3 2 3" xfId="18050"/>
    <cellStyle name="常规 2 8 3 2 4" xfId="18051"/>
    <cellStyle name="常规 2 8 3 3" xfId="18052"/>
    <cellStyle name="常规 2 8 3 3 2" xfId="18053"/>
    <cellStyle name="常规 2 8 3 4" xfId="18054"/>
    <cellStyle name="常规 2 8 3 4 2" xfId="18055"/>
    <cellStyle name="常规 2 8 3 5" xfId="18056"/>
    <cellStyle name="常规 2 8 3 6" xfId="18057"/>
    <cellStyle name="常规 2 8 3 7" xfId="18058"/>
    <cellStyle name="常规 2 8 4" xfId="18059"/>
    <cellStyle name="常规 2 8 4 2" xfId="18060"/>
    <cellStyle name="常规 2 8 4 2 2" xfId="18061"/>
    <cellStyle name="常规 2 8 4 2 2 2" xfId="18062"/>
    <cellStyle name="常规 2 8 4 2 3" xfId="18063"/>
    <cellStyle name="常规 2 8 4 2 4" xfId="18064"/>
    <cellStyle name="常规 2 8 4 3" xfId="18065"/>
    <cellStyle name="常规 2 8 4 3 2" xfId="18066"/>
    <cellStyle name="常规 2 8 4 4" xfId="18067"/>
    <cellStyle name="常规 2 8 4 5" xfId="18068"/>
    <cellStyle name="常规 2 8 5" xfId="18069"/>
    <cellStyle name="常规 2 8 5 2" xfId="18070"/>
    <cellStyle name="常规 2 8 5 2 2" xfId="18071"/>
    <cellStyle name="常规 2 8 5 3" xfId="18072"/>
    <cellStyle name="常规 2 8 5 4" xfId="18073"/>
    <cellStyle name="常规 2 8 6" xfId="18074"/>
    <cellStyle name="常规 2 8 6 2" xfId="18075"/>
    <cellStyle name="常规 2 8 6 3" xfId="18076"/>
    <cellStyle name="常规 2 8 7" xfId="18077"/>
    <cellStyle name="常规 2 8 7 2" xfId="18078"/>
    <cellStyle name="常规 2 8 8" xfId="18079"/>
    <cellStyle name="常规 2 8 9" xfId="18080"/>
    <cellStyle name="常规 2 9" xfId="18081"/>
    <cellStyle name="常规 2 9 10" xfId="18082"/>
    <cellStyle name="常规 2 9 2" xfId="18083"/>
    <cellStyle name="常规 2 9 2 2" xfId="18084"/>
    <cellStyle name="常规 2 9 2 2 2" xfId="18085"/>
    <cellStyle name="常规 2 9 2 2 2 2" xfId="18086"/>
    <cellStyle name="常规 2 9 2 2 3" xfId="18087"/>
    <cellStyle name="常规 2 9 2 2 4" xfId="18088"/>
    <cellStyle name="常规 2 9 2 3" xfId="18089"/>
    <cellStyle name="常规 2 9 2 3 2" xfId="18090"/>
    <cellStyle name="常规 2 9 2 4" xfId="18091"/>
    <cellStyle name="常规 2 9 2 4 2" xfId="18092"/>
    <cellStyle name="常规 2 9 2 5" xfId="18093"/>
    <cellStyle name="常规 2 9 2 6" xfId="18094"/>
    <cellStyle name="常规 2 9 2 7" xfId="18095"/>
    <cellStyle name="常规 2 9 3" xfId="18096"/>
    <cellStyle name="常规 2 9 3 2" xfId="18097"/>
    <cellStyle name="常规 2 9 3 2 2" xfId="18098"/>
    <cellStyle name="常规 2 9 3 2 2 2" xfId="18099"/>
    <cellStyle name="常规 2 9 3 2 3" xfId="18100"/>
    <cellStyle name="常规 2 9 3 2 4" xfId="18101"/>
    <cellStyle name="常规 2 9 3 3" xfId="18102"/>
    <cellStyle name="常规 2 9 3 3 2" xfId="18103"/>
    <cellStyle name="常规 2 9 3 4" xfId="18104"/>
    <cellStyle name="常规 2 9 3 5" xfId="18105"/>
    <cellStyle name="常规 2 9 4" xfId="18106"/>
    <cellStyle name="常规 2 9 4 2" xfId="18107"/>
    <cellStyle name="常规 2 9 4 2 2" xfId="18108"/>
    <cellStyle name="常规 2 9 4 3" xfId="18109"/>
    <cellStyle name="常规 2 9 4 4" xfId="18110"/>
    <cellStyle name="常规 2 9 5" xfId="18111"/>
    <cellStyle name="常规 2 9 5 2" xfId="18112"/>
    <cellStyle name="常规 2 9 5 3" xfId="18113"/>
    <cellStyle name="常规 2 9 6" xfId="18114"/>
    <cellStyle name="常规 2 9 6 2" xfId="18115"/>
    <cellStyle name="常规 2 9 7" xfId="18116"/>
    <cellStyle name="常规 2 9 8" xfId="18117"/>
    <cellStyle name="常规 2 9 9" xfId="18118"/>
    <cellStyle name="常规 20" xfId="18119"/>
    <cellStyle name="常规 20 2" xfId="18120"/>
    <cellStyle name="常规 20 3" xfId="18121"/>
    <cellStyle name="常规 21" xfId="18122"/>
    <cellStyle name="常规 21 2" xfId="18123"/>
    <cellStyle name="常规 21 3" xfId="18124"/>
    <cellStyle name="常规 21 4" xfId="18125"/>
    <cellStyle name="常规 22" xfId="18126"/>
    <cellStyle name="常规 22 2" xfId="18127"/>
    <cellStyle name="常规 22 3" xfId="18128"/>
    <cellStyle name="常规 23" xfId="18129"/>
    <cellStyle name="常规 23 2" xfId="18130"/>
    <cellStyle name="常规 23 3" xfId="18131"/>
    <cellStyle name="常规 24" xfId="18132"/>
    <cellStyle name="常规 24 2" xfId="18133"/>
    <cellStyle name="常规 24 3" xfId="18134"/>
    <cellStyle name="常规 25" xfId="18135"/>
    <cellStyle name="常规 25 2" xfId="18136"/>
    <cellStyle name="常规 26" xfId="18137"/>
    <cellStyle name="常规 26 2" xfId="18138"/>
    <cellStyle name="常规 27" xfId="18139"/>
    <cellStyle name="常规 27 2" xfId="18140"/>
    <cellStyle name="常规 27 3" xfId="18141"/>
    <cellStyle name="常规 28" xfId="18142"/>
    <cellStyle name="常规 28 2" xfId="18143"/>
    <cellStyle name="常规 28 2 2" xfId="18144"/>
    <cellStyle name="常规 28 2 2 2" xfId="18145"/>
    <cellStyle name="常规 28 2 2 2 2" xfId="18146"/>
    <cellStyle name="常规 28 2 2 2 2 2" xfId="18147"/>
    <cellStyle name="常规 28 2 2 2 3" xfId="18148"/>
    <cellStyle name="常规 28 2 2 2 4" xfId="18149"/>
    <cellStyle name="常规 28 2 2 3" xfId="18150"/>
    <cellStyle name="常规 28 2 2 3 2" xfId="18151"/>
    <cellStyle name="常规 28 2 2 4" xfId="18152"/>
    <cellStyle name="常规 28 2 2 5" xfId="18153"/>
    <cellStyle name="常规 28 2 2 6" xfId="18154"/>
    <cellStyle name="常规 28 2 3" xfId="18155"/>
    <cellStyle name="常规 28 2 3 2" xfId="18156"/>
    <cellStyle name="常规 28 2 3 2 2" xfId="18157"/>
    <cellStyle name="常规 28 2 3 3" xfId="18158"/>
    <cellStyle name="常规 28 2 3 4" xfId="18159"/>
    <cellStyle name="常规 28 2 3 5" xfId="18160"/>
    <cellStyle name="常规 28 2 4" xfId="18161"/>
    <cellStyle name="常规 28 2 4 2" xfId="18162"/>
    <cellStyle name="常规 28 2 4 3" xfId="18163"/>
    <cellStyle name="常规 28 2 5" xfId="18164"/>
    <cellStyle name="常规 28 2 5 2" xfId="18165"/>
    <cellStyle name="常规 28 2 6" xfId="18166"/>
    <cellStyle name="常规 28 2 6 2" xfId="18167"/>
    <cellStyle name="常规 28 2 7" xfId="18168"/>
    <cellStyle name="常规 28 3" xfId="18169"/>
    <cellStyle name="常规 28 3 2" xfId="18170"/>
    <cellStyle name="常规 28 3 2 2" xfId="18171"/>
    <cellStyle name="常规 28 3 2 2 2" xfId="18172"/>
    <cellStyle name="常规 28 3 2 3" xfId="18173"/>
    <cellStyle name="常规 28 3 2 4" xfId="18174"/>
    <cellStyle name="常规 28 3 3" xfId="18175"/>
    <cellStyle name="常规 28 3 3 2" xfId="18176"/>
    <cellStyle name="常规 28 3 4" xfId="18177"/>
    <cellStyle name="常规 28 3 5" xfId="18178"/>
    <cellStyle name="常规 28 3 6" xfId="18179"/>
    <cellStyle name="常规 28 4" xfId="18180"/>
    <cellStyle name="常规 28 4 2" xfId="18181"/>
    <cellStyle name="常规 28 4 2 2" xfId="18182"/>
    <cellStyle name="常规 28 4 3" xfId="18183"/>
    <cellStyle name="常规 28 4 4" xfId="18184"/>
    <cellStyle name="常规 28 4 5" xfId="18185"/>
    <cellStyle name="常规 28 5" xfId="18186"/>
    <cellStyle name="常规 28 5 2" xfId="18187"/>
    <cellStyle name="常规 28 5 3" xfId="18188"/>
    <cellStyle name="常规 28 6" xfId="18189"/>
    <cellStyle name="常规 28 6 2" xfId="18190"/>
    <cellStyle name="常规 28 7" xfId="18191"/>
    <cellStyle name="常规 28 7 2" xfId="18192"/>
    <cellStyle name="常规 28 8" xfId="18193"/>
    <cellStyle name="常规 29" xfId="18194"/>
    <cellStyle name="常规 29 2" xfId="18195"/>
    <cellStyle name="常规 29 2 2" xfId="18196"/>
    <cellStyle name="常规 29 2 3" xfId="18197"/>
    <cellStyle name="常规 29 2 4" xfId="18198"/>
    <cellStyle name="常规 29 2 5" xfId="18199"/>
    <cellStyle name="常规 29 2 6" xfId="18200"/>
    <cellStyle name="常规 29 3" xfId="18201"/>
    <cellStyle name="常规 29 4" xfId="18202"/>
    <cellStyle name="常规 29 5" xfId="18203"/>
    <cellStyle name="常规 29 6" xfId="18204"/>
    <cellStyle name="常规 29 7" xfId="18205"/>
    <cellStyle name="常规 29 8" xfId="18206"/>
    <cellStyle name="常规 3 13" xfId="18207"/>
    <cellStyle name="常规 3 10" xfId="18208"/>
    <cellStyle name="常规 3 11" xfId="18209"/>
    <cellStyle name="常规 3 2" xfId="18210"/>
    <cellStyle name="常规 3 2 10" xfId="18211"/>
    <cellStyle name="常规 3 2 10 2" xfId="18212"/>
    <cellStyle name="常规 3 2 10 2 2" xfId="18213"/>
    <cellStyle name="常规 3 2 10 3" xfId="18214"/>
    <cellStyle name="常规 3 2 10 4" xfId="18215"/>
    <cellStyle name="常规 3 2 11" xfId="18216"/>
    <cellStyle name="常规 3 2 11 2" xfId="18217"/>
    <cellStyle name="常规 3 2 11 2 2" xfId="18218"/>
    <cellStyle name="常规 3 2 11 3" xfId="18219"/>
    <cellStyle name="常规 3 2 11 4" xfId="18220"/>
    <cellStyle name="常规 3 2 12" xfId="18221"/>
    <cellStyle name="常规 3 2 2" xfId="18222"/>
    <cellStyle name="常规 3 2 2 10" xfId="18223"/>
    <cellStyle name="常规 3 2 2 10 2" xfId="18224"/>
    <cellStyle name="常规 3 2 2 11" xfId="18225"/>
    <cellStyle name="常规 3 2 2 11 2" xfId="18226"/>
    <cellStyle name="常规 3 2 2 12" xfId="18227"/>
    <cellStyle name="常规 3 2 2 2" xfId="18228"/>
    <cellStyle name="常规 3 2 2 2 10" xfId="18229"/>
    <cellStyle name="常规 3 2 2 2 2" xfId="18230"/>
    <cellStyle name="常规 3 2 2 2 2 2" xfId="18231"/>
    <cellStyle name="常规 3 2 2 2 2 2 2" xfId="18232"/>
    <cellStyle name="常规 3 2 2 2 2 2 2 2" xfId="18233"/>
    <cellStyle name="常规 3 2 2 2 2 2 2 2 2" xfId="18234"/>
    <cellStyle name="常规 3 2 2 2 2 2 2 3" xfId="18235"/>
    <cellStyle name="常规 3 2 2 2 2 2 2 4" xfId="18236"/>
    <cellStyle name="常规 3 2 2 2 2 2 2 5" xfId="18237"/>
    <cellStyle name="常规 3 2 2 2 2 2 3" xfId="18238"/>
    <cellStyle name="常规 3 2 2 2 2 2 3 2" xfId="18239"/>
    <cellStyle name="常规 3 2 2 2 2 2 3 2 2" xfId="18240"/>
    <cellStyle name="常规 3 2 2 2 2 2 3 3" xfId="18241"/>
    <cellStyle name="常规 3 2 2 2 2 2 3 4" xfId="18242"/>
    <cellStyle name="常规 3 2 2 2 2 2 3 5" xfId="18243"/>
    <cellStyle name="常规 3 2 2 2 2 2 4" xfId="18244"/>
    <cellStyle name="常规 3 2 2 2 2 2 4 2" xfId="18245"/>
    <cellStyle name="常规 3 2 2 2 2 2 4 3" xfId="18246"/>
    <cellStyle name="常规 3 2 2 2 2 2 5" xfId="18247"/>
    <cellStyle name="常规 3 2 2 2 2 2 5 2" xfId="18248"/>
    <cellStyle name="常规 3 2 2 2 2 2 6" xfId="18249"/>
    <cellStyle name="常规 3 2 2 2 2 2 6 2" xfId="18250"/>
    <cellStyle name="常规 3 2 2 2 2 2 7" xfId="18251"/>
    <cellStyle name="常规 3 2 2 2 2 3" xfId="18252"/>
    <cellStyle name="常规 3 2 2 2 2 3 2" xfId="18253"/>
    <cellStyle name="常规 3 2 2 2 2 3 2 2" xfId="18254"/>
    <cellStyle name="常规 3 2 2 2 2 3 3" xfId="18255"/>
    <cellStyle name="常规 3 2 2 2 2 3 4" xfId="18256"/>
    <cellStyle name="常规 3 2 2 2 2 3 5" xfId="18257"/>
    <cellStyle name="常规 3 2 2 2 2 4" xfId="18258"/>
    <cellStyle name="常规 3 2 2 2 2 4 2" xfId="18259"/>
    <cellStyle name="常规 3 2 2 2 2 4 2 2" xfId="18260"/>
    <cellStyle name="常规 3 2 2 2 2 4 3" xfId="18261"/>
    <cellStyle name="常规 3 2 2 2 2 4 4" xfId="18262"/>
    <cellStyle name="常规 3 2 2 2 2 4 5" xfId="18263"/>
    <cellStyle name="常规 3 2 2 2 2 5" xfId="18264"/>
    <cellStyle name="常规 3 2 2 2 2 5 2" xfId="18265"/>
    <cellStyle name="常规 3 2 2 2 2 5 3" xfId="18266"/>
    <cellStyle name="常规 3 2 2 2 2 6" xfId="18267"/>
    <cellStyle name="常规 3 2 2 2 2 6 2" xfId="18268"/>
    <cellStyle name="常规 3 2 2 2 2 7" xfId="18269"/>
    <cellStyle name="常规 3 2 2 2 2 7 2" xfId="18270"/>
    <cellStyle name="常规 3 2 2 2 2 8" xfId="18271"/>
    <cellStyle name="常规 3 2 2 2 3" xfId="18272"/>
    <cellStyle name="常规 3 2 2 2 3 2" xfId="18273"/>
    <cellStyle name="常规 3 2 2 2 3 2 2" xfId="18274"/>
    <cellStyle name="常规 3 2 2 2 3 2 2 2" xfId="18275"/>
    <cellStyle name="常规 3 2 2 2 3 2 2 3" xfId="18276"/>
    <cellStyle name="常规 3 2 2 2 3 2 3" xfId="18277"/>
    <cellStyle name="常规 3 2 2 2 3 2 3 2" xfId="18278"/>
    <cellStyle name="常规 3 2 2 2 3 2 4" xfId="18279"/>
    <cellStyle name="常规 3 2 2 2 3 2 4 2" xfId="18280"/>
    <cellStyle name="常规 3 2 2 2 3 2 5" xfId="18281"/>
    <cellStyle name="常规 3 2 2 2 3 2 6" xfId="18282"/>
    <cellStyle name="常规 3 2 2 2 3 2 7" xfId="18283"/>
    <cellStyle name="常规 3 2 2 2 3 3" xfId="18284"/>
    <cellStyle name="常规 3 2 2 2 3 3 2" xfId="18285"/>
    <cellStyle name="常规 3 2 2 2 3 3 2 2" xfId="18286"/>
    <cellStyle name="常规 3 2 2 2 3 3 3" xfId="18287"/>
    <cellStyle name="常规 3 2 2 2 3 3 4" xfId="18288"/>
    <cellStyle name="常规 3 2 2 2 3 3 5" xfId="18289"/>
    <cellStyle name="常规 3 2 2 2 3 4" xfId="18290"/>
    <cellStyle name="常规 3 2 2 2 3 4 2" xfId="18291"/>
    <cellStyle name="常规 3 2 2 2 3 4 3" xfId="18292"/>
    <cellStyle name="常规 3 2 2 2 3 5" xfId="18293"/>
    <cellStyle name="常规 3 2 2 2 3 5 2" xfId="18294"/>
    <cellStyle name="常规 3 2 2 2 3 6" xfId="18295"/>
    <cellStyle name="常规 3 2 2 2 3 6 2" xfId="18296"/>
    <cellStyle name="常规 3 2 2 2 3 7" xfId="18297"/>
    <cellStyle name="常规 3 2 2 2 3 8" xfId="18298"/>
    <cellStyle name="常规 3 2 2 2 4" xfId="18299"/>
    <cellStyle name="常规 3 2 2 2 4 2" xfId="18300"/>
    <cellStyle name="常规 3 2 2 2 4 2 2" xfId="18301"/>
    <cellStyle name="常规 3 2 2 2 4 2 3" xfId="18302"/>
    <cellStyle name="常规 3 2 2 2 4 3" xfId="18303"/>
    <cellStyle name="常规 3 2 2 2 4 3 2" xfId="18304"/>
    <cellStyle name="常规 3 2 2 2 4 4" xfId="18305"/>
    <cellStyle name="常规 3 2 2 2 4 4 2" xfId="18306"/>
    <cellStyle name="常规 3 2 2 2 4 5" xfId="18307"/>
    <cellStyle name="常规 3 2 2 2 4 6" xfId="18308"/>
    <cellStyle name="常规 3 2 2 2 4 7" xfId="18309"/>
    <cellStyle name="常规 3 2 2 2 5" xfId="18310"/>
    <cellStyle name="常规 3 2 2 2 5 2" xfId="18311"/>
    <cellStyle name="常规 3 2 2 2 5 2 2" xfId="18312"/>
    <cellStyle name="常规 3 2 2 2 5 3" xfId="18313"/>
    <cellStyle name="常规 3 2 2 2 5 4" xfId="18314"/>
    <cellStyle name="常规 3 2 2 2 5 5" xfId="18315"/>
    <cellStyle name="常规 3 2 2 2 6" xfId="18316"/>
    <cellStyle name="常规 3 2 2 2 6 2" xfId="18317"/>
    <cellStyle name="常规 3 2 2 2 6 3" xfId="18318"/>
    <cellStyle name="常规 3 2 2 2 7" xfId="18319"/>
    <cellStyle name="常规 3 2 2 2 7 2" xfId="18320"/>
    <cellStyle name="常规 3 2 2 2 8" xfId="18321"/>
    <cellStyle name="常规 3 2 2 2 8 2" xfId="18322"/>
    <cellStyle name="常规 3 2 2 2 9" xfId="18323"/>
    <cellStyle name="常规 3 2 2 2 9 2" xfId="18324"/>
    <cellStyle name="常规 3 2 2 3" xfId="18325"/>
    <cellStyle name="常规 3 2 2 3 2" xfId="18326"/>
    <cellStyle name="常规 3 2 2 3 2 2" xfId="18327"/>
    <cellStyle name="常规 3 2 2 3 2 2 2" xfId="18328"/>
    <cellStyle name="常规 3 2 2 3 2 2 2 2" xfId="18329"/>
    <cellStyle name="常规 3 2 2 3 2 2 2 2 2" xfId="18330"/>
    <cellStyle name="常规 3 2 2 3 2 2 2 3" xfId="18331"/>
    <cellStyle name="常规 3 2 2 3 2 2 2 4" xfId="18332"/>
    <cellStyle name="常规 3 2 2 3 2 2 3" xfId="18333"/>
    <cellStyle name="常规 3 2 2 3 2 2 3 2" xfId="18334"/>
    <cellStyle name="常规 3 2 2 3 2 2 4" xfId="18335"/>
    <cellStyle name="常规 3 2 2 3 2 2 5" xfId="18336"/>
    <cellStyle name="常规 3 2 2 3 2 3" xfId="18337"/>
    <cellStyle name="常规 3 2 2 3 2 3 2" xfId="18338"/>
    <cellStyle name="常规 3 2 2 3 2 3 2 2" xfId="18339"/>
    <cellStyle name="常规 3 2 2 3 2 3 3" xfId="18340"/>
    <cellStyle name="常规 3 2 2 3 2 3 4" xfId="18341"/>
    <cellStyle name="常规 3 2 2 3 2 4" xfId="18342"/>
    <cellStyle name="常规 3 2 2 3 2 4 2" xfId="18343"/>
    <cellStyle name="常规 3 2 2 3 2 5" xfId="18344"/>
    <cellStyle name="常规 3 2 2 3 2 6" xfId="18345"/>
    <cellStyle name="常规 3 2 2 3 2 7" xfId="18346"/>
    <cellStyle name="常规 3 2 2 3 3" xfId="18347"/>
    <cellStyle name="常规 3 2 2 3 3 2" xfId="18348"/>
    <cellStyle name="常规 3 2 2 3 3 2 2" xfId="18349"/>
    <cellStyle name="常规 3 2 2 3 3 2 2 2" xfId="18350"/>
    <cellStyle name="常规 3 2 2 3 3 2 3" xfId="18351"/>
    <cellStyle name="常规 3 2 2 3 3 2 4" xfId="18352"/>
    <cellStyle name="常规 3 2 2 3 3 2 5" xfId="18353"/>
    <cellStyle name="常规 3 2 2 3 3 3" xfId="18354"/>
    <cellStyle name="常规 3 2 2 3 3 3 2" xfId="18355"/>
    <cellStyle name="常规 3 2 2 3 3 3 2 2" xfId="18356"/>
    <cellStyle name="常规 3 2 2 3 3 3 3" xfId="18357"/>
    <cellStyle name="常规 3 2 2 3 3 3 4" xfId="18358"/>
    <cellStyle name="常规 3 2 2 3 3 3 5" xfId="18359"/>
    <cellStyle name="常规 3 2 2 3 3 4" xfId="18360"/>
    <cellStyle name="常规 3 2 2 3 3 4 2" xfId="18361"/>
    <cellStyle name="常规 3 2 2 3 3 4 3" xfId="18362"/>
    <cellStyle name="常规 3 2 2 3 3 5" xfId="18363"/>
    <cellStyle name="常规 3 2 2 3 3 5 2" xfId="18364"/>
    <cellStyle name="常规 3 2 2 3 3 6" xfId="18365"/>
    <cellStyle name="常规 3 2 2 3 3 6 2" xfId="18366"/>
    <cellStyle name="常规 3 2 2 3 3 7" xfId="18367"/>
    <cellStyle name="常规 3 2 2 3 4" xfId="18368"/>
    <cellStyle name="常规 3 2 2 3 4 2" xfId="18369"/>
    <cellStyle name="常规 3 2 2 3 4 2 2" xfId="18370"/>
    <cellStyle name="常规 3 2 2 3 4 3" xfId="18371"/>
    <cellStyle name="常规 3 2 2 3 4 4" xfId="18372"/>
    <cellStyle name="常规 3 2 2 3 4 5" xfId="18373"/>
    <cellStyle name="常规 3 2 2 3 5" xfId="18374"/>
    <cellStyle name="常规 3 2 2 3 5 2" xfId="18375"/>
    <cellStyle name="常规 3 2 2 3 5 2 2" xfId="18376"/>
    <cellStyle name="常规 3 2 2 3 5 3" xfId="18377"/>
    <cellStyle name="常规 3 2 2 3 5 4" xfId="18378"/>
    <cellStyle name="常规 3 2 2 3 5 5" xfId="18379"/>
    <cellStyle name="常规 3 2 2 3 6" xfId="18380"/>
    <cellStyle name="常规 3 2 2 3 6 2" xfId="18381"/>
    <cellStyle name="常规 3 2 2 3 6 3" xfId="18382"/>
    <cellStyle name="常规 3 2 2 3 7" xfId="18383"/>
    <cellStyle name="常规 3 2 2 3 7 2" xfId="18384"/>
    <cellStyle name="常规 3 2 2 3 8" xfId="18385"/>
    <cellStyle name="常规 3 2 2 3 8 2" xfId="18386"/>
    <cellStyle name="常规 3 2 2 3 9" xfId="18387"/>
    <cellStyle name="常规 3 2 2 4" xfId="18388"/>
    <cellStyle name="常规 3 2 2 4 2" xfId="18389"/>
    <cellStyle name="常规 3 2 2 4 2 2" xfId="18390"/>
    <cellStyle name="常规 3 2 2 4 2 2 2" xfId="18391"/>
    <cellStyle name="常规 3 2 2 4 2 2 2 2" xfId="18392"/>
    <cellStyle name="常规 3 2 2 4 2 2 3" xfId="18393"/>
    <cellStyle name="常规 3 2 2 4 2 2 4" xfId="18394"/>
    <cellStyle name="常规 3 2 2 4 2 3" xfId="18395"/>
    <cellStyle name="常规 3 2 2 4 2 3 2" xfId="18396"/>
    <cellStyle name="常规 3 2 2 4 2 3 2 2" xfId="18397"/>
    <cellStyle name="常规 3 2 2 4 2 3 3" xfId="18398"/>
    <cellStyle name="常规 3 2 2 4 2 3 4" xfId="18399"/>
    <cellStyle name="常规 3 2 2 4 2 4" xfId="18400"/>
    <cellStyle name="常规 3 2 2 4 2 4 2" xfId="18401"/>
    <cellStyle name="常规 3 2 2 4 2 5" xfId="18402"/>
    <cellStyle name="常规 3 2 2 4 2 6" xfId="18403"/>
    <cellStyle name="常规 3 2 2 4 3" xfId="18404"/>
    <cellStyle name="常规 3 2 2 4 3 2" xfId="18405"/>
    <cellStyle name="常规 3 2 2 4 3 2 2" xfId="18406"/>
    <cellStyle name="常规 3 2 2 4 3 3" xfId="18407"/>
    <cellStyle name="常规 3 2 2 4 3 4" xfId="18408"/>
    <cellStyle name="常规 3 2 2 4 4" xfId="18409"/>
    <cellStyle name="常规 3 2 2 4 4 2" xfId="18410"/>
    <cellStyle name="常规 3 2 2 4 4 2 2" xfId="18411"/>
    <cellStyle name="常规 3 2 2 4 4 3" xfId="18412"/>
    <cellStyle name="常规 3 2 2 4 4 4" xfId="18413"/>
    <cellStyle name="常规 3 2 2 4 5" xfId="18414"/>
    <cellStyle name="常规 3 2 2 4 5 2" xfId="18415"/>
    <cellStyle name="常规 3 2 2 4 6" xfId="18416"/>
    <cellStyle name="常规 3 2 2 4 7" xfId="18417"/>
    <cellStyle name="常规 3 2 2 4 8" xfId="18418"/>
    <cellStyle name="常规 3 2 2 4 9" xfId="18419"/>
    <cellStyle name="常规 3 2 2 5" xfId="18420"/>
    <cellStyle name="常规 3 2 2 5 2" xfId="18421"/>
    <cellStyle name="常规 3 2 2 5 2 2" xfId="18422"/>
    <cellStyle name="常规 3 2 2 5 2 2 2" xfId="18423"/>
    <cellStyle name="常规 3 2 2 5 2 2 2 2" xfId="18424"/>
    <cellStyle name="常规 3 2 2 5 2 2 3" xfId="18425"/>
    <cellStyle name="常规 3 2 2 5 2 2 4" xfId="18426"/>
    <cellStyle name="常规 3 2 2 5 2 3" xfId="18427"/>
    <cellStyle name="常规 3 2 2 5 2 3 2" xfId="18428"/>
    <cellStyle name="常规 3 2 2 5 2 4" xfId="18429"/>
    <cellStyle name="常规 3 2 2 5 2 5" xfId="18430"/>
    <cellStyle name="常规 3 2 2 5 3" xfId="18431"/>
    <cellStyle name="常规 3 2 2 5 3 2" xfId="18432"/>
    <cellStyle name="常规 3 2 2 5 3 2 2" xfId="18433"/>
    <cellStyle name="常规 3 2 2 5 3 3" xfId="18434"/>
    <cellStyle name="常规 3 2 2 5 3 4" xfId="18435"/>
    <cellStyle name="常规 3 2 2 5 4" xfId="18436"/>
    <cellStyle name="常规 3 2 2 5 4 2" xfId="18437"/>
    <cellStyle name="常规 3 2 2 5 5" xfId="18438"/>
    <cellStyle name="常规 3 2 2 5 6" xfId="18439"/>
    <cellStyle name="常规 3 2 2 5 7" xfId="18440"/>
    <cellStyle name="常规 3 2 2 6" xfId="18441"/>
    <cellStyle name="常规 3 2 2 6 2" xfId="18442"/>
    <cellStyle name="常规 3 2 2 6 2 2" xfId="18443"/>
    <cellStyle name="常规 3 2 2 6 2 2 2" xfId="18444"/>
    <cellStyle name="常规 3 2 2 6 2 3" xfId="18445"/>
    <cellStyle name="常规 3 2 2 6 2 4" xfId="18446"/>
    <cellStyle name="常规 3 2 2 6 2 5" xfId="18447"/>
    <cellStyle name="常规 3 2 2 6 3" xfId="18448"/>
    <cellStyle name="常规 3 2 2 6 3 2" xfId="18449"/>
    <cellStyle name="常规 3 2 2 6 3 3" xfId="18450"/>
    <cellStyle name="常规 3 2 2 6 4" xfId="18451"/>
    <cellStyle name="常规 3 2 2 6 4 2" xfId="18452"/>
    <cellStyle name="常规 3 2 2 6 5" xfId="18453"/>
    <cellStyle name="常规 3 2 2 6 5 2" xfId="18454"/>
    <cellStyle name="常规 3 2 2 6 6" xfId="18455"/>
    <cellStyle name="常规 3 2 2 6 7" xfId="18456"/>
    <cellStyle name="常规 3 2 2 7" xfId="18457"/>
    <cellStyle name="常规 3 2 2 7 2" xfId="18458"/>
    <cellStyle name="常规 3 2 2 7 2 2" xfId="18459"/>
    <cellStyle name="常规 3 2 2 7 3" xfId="18460"/>
    <cellStyle name="常规 3 2 2 7 4" xfId="18461"/>
    <cellStyle name="常规 3 2 2 7 5" xfId="18462"/>
    <cellStyle name="常规 3 2 2 8" xfId="18463"/>
    <cellStyle name="常规 3 2 2 8 2" xfId="18464"/>
    <cellStyle name="常规 3 2 2 8 3" xfId="18465"/>
    <cellStyle name="常规 3 2 2 9" xfId="18466"/>
    <cellStyle name="常规 3 2 2 9 2" xfId="18467"/>
    <cellStyle name="常规 3 2 3" xfId="18468"/>
    <cellStyle name="常规 3 2 3 10" xfId="18469"/>
    <cellStyle name="常规 3 2 3 10 2" xfId="18470"/>
    <cellStyle name="常规 3 2 3 11" xfId="18471"/>
    <cellStyle name="常规 3 2 3 12" xfId="18472"/>
    <cellStyle name="常规 3 2 3 2" xfId="18473"/>
    <cellStyle name="常规 3 2 3 2 10" xfId="18474"/>
    <cellStyle name="常规 3 2 3 2 2" xfId="18475"/>
    <cellStyle name="常规 3 2 3 2 2 2" xfId="18476"/>
    <cellStyle name="常规 3 2 3 2 2 2 2" xfId="18477"/>
    <cellStyle name="常规 3 2 3 2 2 2 2 2" xfId="18478"/>
    <cellStyle name="常规 3 2 3 2 2 2 2 2 2" xfId="18479"/>
    <cellStyle name="常规 3 2 3 2 2 2 2 3" xfId="18480"/>
    <cellStyle name="常规 3 2 3 2 2 2 2 4" xfId="18481"/>
    <cellStyle name="常规 3 2 3 2 2 2 3" xfId="18482"/>
    <cellStyle name="常规 3 2 3 2 2 2 3 2" xfId="18483"/>
    <cellStyle name="常规 3 2 3 2 2 2 4" xfId="18484"/>
    <cellStyle name="常规 3 2 3 2 2 2 5" xfId="18485"/>
    <cellStyle name="常规 3 2 3 2 2 2 6" xfId="18486"/>
    <cellStyle name="常规 3 2 3 2 2 3" xfId="18487"/>
    <cellStyle name="常规 3 2 3 2 2 3 2" xfId="18488"/>
    <cellStyle name="常规 3 2 3 2 2 3 2 2" xfId="18489"/>
    <cellStyle name="常规 3 2 3 2 2 3 2 3" xfId="18490"/>
    <cellStyle name="常规 3 2 3 2 2 3 3" xfId="18491"/>
    <cellStyle name="常规 3 2 3 2 2 3 3 2" xfId="18492"/>
    <cellStyle name="常规 3 2 3 2 2 3 4" xfId="18493"/>
    <cellStyle name="常规 3 2 3 2 2 3 4 2" xfId="18494"/>
    <cellStyle name="常规 3 2 3 2 2 3 5" xfId="18495"/>
    <cellStyle name="常规 3 2 3 2 2 3 6" xfId="18496"/>
    <cellStyle name="常规 3 2 3 2 2 3 7" xfId="18497"/>
    <cellStyle name="常规 3 2 3 2 2 4" xfId="18498"/>
    <cellStyle name="常规 3 2 3 2 2 4 2" xfId="18499"/>
    <cellStyle name="常规 3 2 3 2 2 4 3" xfId="18500"/>
    <cellStyle name="常规 3 2 3 2 2 5" xfId="18501"/>
    <cellStyle name="常规 3 2 3 2 2 5 2" xfId="18502"/>
    <cellStyle name="常规 3 2 3 2 2 6" xfId="18503"/>
    <cellStyle name="常规 3 2 3 2 2 6 2" xfId="18504"/>
    <cellStyle name="常规 3 2 3 2 2 7" xfId="18505"/>
    <cellStyle name="常规 3 2 3 2 2 8" xfId="18506"/>
    <cellStyle name="常规 3 2 3 2 2 9" xfId="18507"/>
    <cellStyle name="常规 3 2 3 2 3" xfId="18508"/>
    <cellStyle name="常规 3 2 3 2 3 2" xfId="18509"/>
    <cellStyle name="常规 3 2 3 2 3 2 2" xfId="18510"/>
    <cellStyle name="常规 3 2 3 2 3 2 2 2" xfId="18511"/>
    <cellStyle name="常规 3 2 3 2 3 2 2 3" xfId="18512"/>
    <cellStyle name="常规 3 2 3 2 3 2 3" xfId="18513"/>
    <cellStyle name="常规 3 2 3 2 3 2 3 2" xfId="18514"/>
    <cellStyle name="常规 3 2 3 2 3 2 4" xfId="18515"/>
    <cellStyle name="常规 3 2 3 2 3 2 4 2" xfId="18516"/>
    <cellStyle name="常规 3 2 3 2 3 2 5" xfId="18517"/>
    <cellStyle name="常规 3 2 3 2 3 2 6" xfId="18518"/>
    <cellStyle name="常规 3 2 3 2 3 2 7" xfId="18519"/>
    <cellStyle name="常规 3 2 3 2 3 3" xfId="18520"/>
    <cellStyle name="常规 3 2 3 2 3 3 2" xfId="18521"/>
    <cellStyle name="常规 3 2 3 2 3 3 2 2" xfId="18522"/>
    <cellStyle name="常规 3 2 3 2 3 3 3" xfId="18523"/>
    <cellStyle name="常规 3 2 3 2 3 3 4" xfId="18524"/>
    <cellStyle name="常规 3 2 3 2 3 3 5" xfId="18525"/>
    <cellStyle name="常规 3 2 3 2 3 4" xfId="18526"/>
    <cellStyle name="常规 3 2 3 2 3 4 2" xfId="18527"/>
    <cellStyle name="常规 3 2 3 2 3 4 3" xfId="18528"/>
    <cellStyle name="常规 3 2 3 2 3 5" xfId="18529"/>
    <cellStyle name="常规 3 2 3 2 3 5 2" xfId="18530"/>
    <cellStyle name="常规 3 2 3 2 3 6" xfId="18531"/>
    <cellStyle name="常规 3 2 3 2 3 6 2" xfId="18532"/>
    <cellStyle name="常规 3 2 3 2 3 7" xfId="18533"/>
    <cellStyle name="常规 3 2 3 2 3 8" xfId="18534"/>
    <cellStyle name="常规 3 2 3 2 4" xfId="18535"/>
    <cellStyle name="常规 3 2 3 2 4 2" xfId="18536"/>
    <cellStyle name="常规 3 2 3 2 4 2 2" xfId="18537"/>
    <cellStyle name="常规 3 2 3 2 4 2 3" xfId="18538"/>
    <cellStyle name="常规 3 2 3 2 4 3" xfId="18539"/>
    <cellStyle name="常规 3 2 3 2 4 3 2" xfId="18540"/>
    <cellStyle name="常规 3 2 3 2 4 4" xfId="18541"/>
    <cellStyle name="常规 3 2 3 2 4 4 2" xfId="18542"/>
    <cellStyle name="常规 3 2 3 2 4 5" xfId="18543"/>
    <cellStyle name="常规 3 2 3 2 4 6" xfId="18544"/>
    <cellStyle name="常规 3 2 3 2 4 7" xfId="18545"/>
    <cellStyle name="常规 3 2 3 2 5" xfId="18546"/>
    <cellStyle name="常规 3 2 3 2 5 2" xfId="18547"/>
    <cellStyle name="常规 3 2 3 2 5 2 2" xfId="18548"/>
    <cellStyle name="常规 3 2 3 2 5 3" xfId="18549"/>
    <cellStyle name="常规 3 2 3 2 5 4" xfId="18550"/>
    <cellStyle name="常规 3 2 3 2 5 5" xfId="18551"/>
    <cellStyle name="常规 3 2 3 2 6" xfId="18552"/>
    <cellStyle name="常规 3 2 3 2 6 2" xfId="18553"/>
    <cellStyle name="常规 3 2 3 2 6 3" xfId="18554"/>
    <cellStyle name="常规 3 2 3 2 7" xfId="18555"/>
    <cellStyle name="常规 3 2 3 2 7 2" xfId="18556"/>
    <cellStyle name="常规 3 2 3 2 8" xfId="18557"/>
    <cellStyle name="常规 3 2 3 2 8 2" xfId="18558"/>
    <cellStyle name="常规 3 2 3 2 9" xfId="18559"/>
    <cellStyle name="常规 3 2 3 2 9 2" xfId="18560"/>
    <cellStyle name="常规 3 2 3 3" xfId="18561"/>
    <cellStyle name="常规 3 2 3 3 2" xfId="18562"/>
    <cellStyle name="常规 3 2 3 3 2 2" xfId="18563"/>
    <cellStyle name="常规 3 2 3 3 2 2 2" xfId="18564"/>
    <cellStyle name="常规 3 2 3 3 2 2 2 2" xfId="18565"/>
    <cellStyle name="常规 3 2 3 3 2 2 3" xfId="18566"/>
    <cellStyle name="常规 3 2 3 3 2 2 4" xfId="18567"/>
    <cellStyle name="常规 3 2 3 3 2 3" xfId="18568"/>
    <cellStyle name="常规 3 2 3 3 2 3 2" xfId="18569"/>
    <cellStyle name="常规 3 2 3 3 2 3 2 2" xfId="18570"/>
    <cellStyle name="常规 3 2 3 3 2 3 3" xfId="18571"/>
    <cellStyle name="常规 3 2 3 3 2 3 4" xfId="18572"/>
    <cellStyle name="常规 3 2 3 3 2 4" xfId="18573"/>
    <cellStyle name="常规 3 2 3 3 2 4 2" xfId="18574"/>
    <cellStyle name="常规 3 2 3 3 2 5" xfId="18575"/>
    <cellStyle name="常规 3 2 3 3 2 6" xfId="18576"/>
    <cellStyle name="常规 3 2 3 3 2 7" xfId="18577"/>
    <cellStyle name="常规 3 2 3 3 3" xfId="18578"/>
    <cellStyle name="常规 3 2 3 3 3 2" xfId="18579"/>
    <cellStyle name="常规 3 2 3 3 3 2 2" xfId="18580"/>
    <cellStyle name="常规 3 2 3 3 3 2 3" xfId="18581"/>
    <cellStyle name="常规 3 2 3 3 3 3" xfId="18582"/>
    <cellStyle name="常规 3 2 3 3 3 3 2" xfId="18583"/>
    <cellStyle name="常规 3 2 3 3 3 4" xfId="18584"/>
    <cellStyle name="常规 3 2 3 3 3 4 2" xfId="18585"/>
    <cellStyle name="常规 3 2 3 3 3 5" xfId="18586"/>
    <cellStyle name="常规 3 2 3 3 3 6" xfId="18587"/>
    <cellStyle name="常规 3 2 3 3 3 7" xfId="18588"/>
    <cellStyle name="常规 3 2 3 3 4" xfId="18589"/>
    <cellStyle name="常规 3 2 3 3 4 2" xfId="18590"/>
    <cellStyle name="常规 3 2 3 3 4 2 2" xfId="18591"/>
    <cellStyle name="常规 3 2 3 3 4 3" xfId="18592"/>
    <cellStyle name="常规 3 2 3 3 4 4" xfId="18593"/>
    <cellStyle name="常规 3 2 3 3 4 5" xfId="18594"/>
    <cellStyle name="常规 3 2 3 3 5" xfId="18595"/>
    <cellStyle name="常规 3 2 3 3 5 2" xfId="18596"/>
    <cellStyle name="常规 3 2 3 3 5 3" xfId="18597"/>
    <cellStyle name="常规 3 2 3 3 6" xfId="18598"/>
    <cellStyle name="常规 3 2 3 3 6 2" xfId="18599"/>
    <cellStyle name="常规 3 2 3 3 7" xfId="18600"/>
    <cellStyle name="常规 3 2 3 3 7 2" xfId="18601"/>
    <cellStyle name="常规 3 2 3 3 8" xfId="18602"/>
    <cellStyle name="常规 3 2 3 3 8 2" xfId="18603"/>
    <cellStyle name="常规 3 2 3 3 9" xfId="18604"/>
    <cellStyle name="常规 3 2 3 4" xfId="18605"/>
    <cellStyle name="常规 3 2 3 4 2" xfId="18606"/>
    <cellStyle name="常规 3 2 3 4 2 2" xfId="18607"/>
    <cellStyle name="常规 3 2 3 4 2 2 2" xfId="18608"/>
    <cellStyle name="常规 3 2 3 4 2 3" xfId="18609"/>
    <cellStyle name="常规 3 2 3 4 2 4" xfId="18610"/>
    <cellStyle name="常规 3 2 3 4 3" xfId="18611"/>
    <cellStyle name="常规 3 2 3 4 3 2" xfId="18612"/>
    <cellStyle name="常规 3 2 3 4 3 2 2" xfId="18613"/>
    <cellStyle name="常规 3 2 3 4 3 3" xfId="18614"/>
    <cellStyle name="常规 3 2 3 4 3 4" xfId="18615"/>
    <cellStyle name="常规 3 2 3 4 4" xfId="18616"/>
    <cellStyle name="常规 3 2 3 4 4 2" xfId="18617"/>
    <cellStyle name="常规 3 2 3 4 5" xfId="18618"/>
    <cellStyle name="常规 3 2 3 4 6" xfId="18619"/>
    <cellStyle name="常规 3 2 3 4 7" xfId="18620"/>
    <cellStyle name="常规 3 2 3 4 8" xfId="18621"/>
    <cellStyle name="常规 3 2 3 5" xfId="18622"/>
    <cellStyle name="常规 3 2 3 5 2" xfId="18623"/>
    <cellStyle name="常规 3 2 3 5 2 2" xfId="18624"/>
    <cellStyle name="常规 3 2 3 5 3" xfId="18625"/>
    <cellStyle name="常规 3 2 3 5 4" xfId="18626"/>
    <cellStyle name="常规 3 2 3 5 5" xfId="18627"/>
    <cellStyle name="常规 3 2 3 6" xfId="18628"/>
    <cellStyle name="常规 3 2 3 6 2" xfId="18629"/>
    <cellStyle name="常规 3 2 3 6 2 2" xfId="18630"/>
    <cellStyle name="常规 3 2 3 6 2 3" xfId="18631"/>
    <cellStyle name="常规 3 2 3 6 3" xfId="18632"/>
    <cellStyle name="常规 3 2 3 6 3 2" xfId="18633"/>
    <cellStyle name="常规 3 2 3 6 4" xfId="18634"/>
    <cellStyle name="常规 3 2 3 6 4 2" xfId="18635"/>
    <cellStyle name="常规 3 2 3 6 5" xfId="18636"/>
    <cellStyle name="常规 3 2 3 6 6" xfId="18637"/>
    <cellStyle name="常规 3 2 3 6 7" xfId="18638"/>
    <cellStyle name="常规 3 2 3 7" xfId="18639"/>
    <cellStyle name="常规 3 2 3 7 2" xfId="18640"/>
    <cellStyle name="常规 3 2 3 7 3" xfId="18641"/>
    <cellStyle name="常规 3 2 3 8" xfId="18642"/>
    <cellStyle name="常规 3 2 3 8 2" xfId="18643"/>
    <cellStyle name="常规 3 2 3 9" xfId="18644"/>
    <cellStyle name="常规 3 2 3 9 2" xfId="18645"/>
    <cellStyle name="常规 3 2 4" xfId="18646"/>
    <cellStyle name="常规 3 2 4 10" xfId="18647"/>
    <cellStyle name="常规 3 2 4 11" xfId="18648"/>
    <cellStyle name="常规 3 2 4 2" xfId="18649"/>
    <cellStyle name="常规 3 2 4 2 2" xfId="18650"/>
    <cellStyle name="常规 3 2 4 2 2 2" xfId="18651"/>
    <cellStyle name="常规 3 2 4 2 2 2 2" xfId="18652"/>
    <cellStyle name="常规 3 2 4 2 2 2 2 2" xfId="18653"/>
    <cellStyle name="常规 3 2 4 2 2 2 2 2 2" xfId="18654"/>
    <cellStyle name="常规 3 2 4 2 2 2 2 3" xfId="18655"/>
    <cellStyle name="常规 3 2 4 2 2 2 2 4" xfId="18656"/>
    <cellStyle name="常规 3 2 4 2 2 2 3" xfId="18657"/>
    <cellStyle name="常规 3 2 4 2 2 2 3 2" xfId="18658"/>
    <cellStyle name="常规 3 2 4 2 2 2 4" xfId="18659"/>
    <cellStyle name="常规 3 2 4 2 2 2 5" xfId="18660"/>
    <cellStyle name="常规 3 2 4 2 2 3" xfId="18661"/>
    <cellStyle name="常规 3 2 4 2 2 3 2" xfId="18662"/>
    <cellStyle name="常规 3 2 4 2 2 3 2 2" xfId="18663"/>
    <cellStyle name="常规 3 2 4 2 2 3 3" xfId="18664"/>
    <cellStyle name="常规 3 2 4 2 2 3 4" xfId="18665"/>
    <cellStyle name="常规 3 2 4 2 2 4" xfId="18666"/>
    <cellStyle name="常规 3 2 4 2 2 4 2" xfId="18667"/>
    <cellStyle name="常规 3 2 4 2 2 5" xfId="18668"/>
    <cellStyle name="常规 3 2 4 2 2 6" xfId="18669"/>
    <cellStyle name="常规 3 2 4 2 2 7" xfId="18670"/>
    <cellStyle name="常规 3 2 4 2 3" xfId="18671"/>
    <cellStyle name="常规 3 2 4 2 3 2" xfId="18672"/>
    <cellStyle name="常规 3 2 4 2 3 2 2" xfId="18673"/>
    <cellStyle name="常规 3 2 4 2 3 2 2 2" xfId="18674"/>
    <cellStyle name="常规 3 2 4 2 3 2 3" xfId="18675"/>
    <cellStyle name="常规 3 2 4 2 3 2 4" xfId="18676"/>
    <cellStyle name="常规 3 2 4 2 3 2 5" xfId="18677"/>
    <cellStyle name="常规 3 2 4 2 3 3" xfId="18678"/>
    <cellStyle name="常规 3 2 4 2 3 3 2" xfId="18679"/>
    <cellStyle name="常规 3 2 4 2 3 3 2 2" xfId="18680"/>
    <cellStyle name="常规 3 2 4 2 3 3 3" xfId="18681"/>
    <cellStyle name="常规 3 2 4 2 3 3 4" xfId="18682"/>
    <cellStyle name="常规 3 2 4 2 3 3 5" xfId="18683"/>
    <cellStyle name="常规 3 2 4 2 3 4" xfId="18684"/>
    <cellStyle name="常规 3 2 4 2 3 4 2" xfId="18685"/>
    <cellStyle name="常规 3 2 4 2 3 4 3" xfId="18686"/>
    <cellStyle name="常规 3 2 4 2 3 5" xfId="18687"/>
    <cellStyle name="常规 3 2 4 2 3 5 2" xfId="18688"/>
    <cellStyle name="常规 3 2 4 2 3 6" xfId="18689"/>
    <cellStyle name="常规 3 2 4 2 3 6 2" xfId="18690"/>
    <cellStyle name="常规 3 2 4 2 3 7" xfId="18691"/>
    <cellStyle name="常规 3 2 4 2 4" xfId="18692"/>
    <cellStyle name="常规 3 2 4 2 4 2" xfId="18693"/>
    <cellStyle name="常规 3 2 4 2 4 2 2" xfId="18694"/>
    <cellStyle name="常规 3 2 4 2 4 3" xfId="18695"/>
    <cellStyle name="常规 3 2 4 2 4 4" xfId="18696"/>
    <cellStyle name="常规 3 2 4 2 4 5" xfId="18697"/>
    <cellStyle name="常规 3 2 4 2 5" xfId="18698"/>
    <cellStyle name="常规 3 2 4 2 5 2" xfId="18699"/>
    <cellStyle name="常规 3 2 4 2 5 2 2" xfId="18700"/>
    <cellStyle name="常规 3 2 4 2 5 3" xfId="18701"/>
    <cellStyle name="常规 3 2 4 2 5 4" xfId="18702"/>
    <cellStyle name="常规 3 2 4 2 5 5" xfId="18703"/>
    <cellStyle name="常规 3 2 4 2 6" xfId="18704"/>
    <cellStyle name="常规 3 2 4 2 6 2" xfId="18705"/>
    <cellStyle name="常规 3 2 4 2 6 3" xfId="18706"/>
    <cellStyle name="常规 3 2 4 2 7" xfId="18707"/>
    <cellStyle name="常规 3 2 4 2 7 2" xfId="18708"/>
    <cellStyle name="常规 3 2 4 2 8" xfId="18709"/>
    <cellStyle name="常规 3 2 4 2 8 2" xfId="18710"/>
    <cellStyle name="常规 3 2 4 2 9" xfId="18711"/>
    <cellStyle name="常规 3 2 4 3" xfId="18712"/>
    <cellStyle name="常规 3 2 4 3 2" xfId="18713"/>
    <cellStyle name="常规 3 2 4 3 2 2" xfId="18714"/>
    <cellStyle name="常规 3 2 4 3 2 3" xfId="18715"/>
    <cellStyle name="常规 3 2 4 3 2 4" xfId="18716"/>
    <cellStyle name="常规 3 2 4 3 2 5" xfId="18717"/>
    <cellStyle name="常规 3 2 4 3 2 6" xfId="18718"/>
    <cellStyle name="常规 3 2 4 3 3" xfId="18719"/>
    <cellStyle name="常规 3 2 4 3 4" xfId="18720"/>
    <cellStyle name="常规 3 2 4 3 5" xfId="18721"/>
    <cellStyle name="常规 3 2 4 3 6" xfId="18722"/>
    <cellStyle name="常规 3 2 4 3 7" xfId="18723"/>
    <cellStyle name="常规 3 2 4 3 8" xfId="18724"/>
    <cellStyle name="常规 3 2 4 4" xfId="18725"/>
    <cellStyle name="常规 3 2 4 4 2" xfId="18726"/>
    <cellStyle name="常规 3 2 4 4 2 2" xfId="18727"/>
    <cellStyle name="常规 3 2 4 4 2 3" xfId="18728"/>
    <cellStyle name="常规 3 2 4 4 3" xfId="18729"/>
    <cellStyle name="常规 3 2 4 4 3 2" xfId="18730"/>
    <cellStyle name="常规 3 2 4 4 4" xfId="18731"/>
    <cellStyle name="常规 3 2 4 4 4 2" xfId="18732"/>
    <cellStyle name="常规 3 2 4 4 5" xfId="18733"/>
    <cellStyle name="常规 3 2 4 4 6" xfId="18734"/>
    <cellStyle name="常规 3 2 4 4 7" xfId="18735"/>
    <cellStyle name="常规 3 2 4 5" xfId="18736"/>
    <cellStyle name="常规 3 2 4 5 2" xfId="18737"/>
    <cellStyle name="常规 3 2 4 5 3" xfId="18738"/>
    <cellStyle name="常规 3 2 4 6" xfId="18739"/>
    <cellStyle name="常规 3 2 4 6 2" xfId="18740"/>
    <cellStyle name="常规 3 2 4 7" xfId="18741"/>
    <cellStyle name="常规 3 2 4 7 2" xfId="18742"/>
    <cellStyle name="常规 3 2 4 8" xfId="18743"/>
    <cellStyle name="常规 3 2 4 8 2" xfId="18744"/>
    <cellStyle name="常规 3 2 4 9" xfId="18745"/>
    <cellStyle name="常规 3 2 5" xfId="18746"/>
    <cellStyle name="常规 3 2 5 2" xfId="18747"/>
    <cellStyle name="常规 3 2 5 2 2" xfId="18748"/>
    <cellStyle name="常规 3 2 5 2 2 2" xfId="18749"/>
    <cellStyle name="常规 3 2 5 2 2 2 2" xfId="18750"/>
    <cellStyle name="常规 3 2 5 2 2 2 2 2" xfId="18751"/>
    <cellStyle name="常规 3 2 5 2 2 2 3" xfId="18752"/>
    <cellStyle name="常规 3 2 5 2 2 2 4" xfId="18753"/>
    <cellStyle name="常规 3 2 5 2 2 3" xfId="18754"/>
    <cellStyle name="常规 3 2 5 2 2 3 2" xfId="18755"/>
    <cellStyle name="常规 3 2 5 2 2 3 2 2" xfId="18756"/>
    <cellStyle name="常规 3 2 5 2 2 3 3" xfId="18757"/>
    <cellStyle name="常规 3 2 5 2 2 3 4" xfId="18758"/>
    <cellStyle name="常规 3 2 5 2 2 4" xfId="18759"/>
    <cellStyle name="常规 3 2 5 2 2 4 2" xfId="18760"/>
    <cellStyle name="常规 3 2 5 2 2 5" xfId="18761"/>
    <cellStyle name="常规 3 2 5 2 2 6" xfId="18762"/>
    <cellStyle name="常规 3 2 5 2 3" xfId="18763"/>
    <cellStyle name="常规 3 2 5 2 3 2" xfId="18764"/>
    <cellStyle name="常规 3 2 5 2 3 2 2" xfId="18765"/>
    <cellStyle name="常规 3 2 5 2 3 3" xfId="18766"/>
    <cellStyle name="常规 3 2 5 2 3 4" xfId="18767"/>
    <cellStyle name="常规 3 2 5 2 4" xfId="18768"/>
    <cellStyle name="常规 3 2 5 2 4 2" xfId="18769"/>
    <cellStyle name="常规 3 2 5 2 4 2 2" xfId="18770"/>
    <cellStyle name="常规 3 2 5 2 4 3" xfId="18771"/>
    <cellStyle name="常规 3 2 5 2 4 4" xfId="18772"/>
    <cellStyle name="常规 3 2 5 2 5" xfId="18773"/>
    <cellStyle name="常规 3 2 5 2 5 2" xfId="18774"/>
    <cellStyle name="常规 3 2 5 2 6" xfId="18775"/>
    <cellStyle name="常规 3 2 5 2 7" xfId="18776"/>
    <cellStyle name="常规 3 2 5 3" xfId="18777"/>
    <cellStyle name="常规 3 2 5 3 2" xfId="18778"/>
    <cellStyle name="常规 3 2 5 3 2 2" xfId="18779"/>
    <cellStyle name="常规 3 2 5 3 2 2 2" xfId="18780"/>
    <cellStyle name="常规 3 2 5 3 2 3" xfId="18781"/>
    <cellStyle name="常规 3 2 5 3 2 4" xfId="18782"/>
    <cellStyle name="常规 3 2 5 3 3" xfId="18783"/>
    <cellStyle name="常规 3 2 5 3 3 2" xfId="18784"/>
    <cellStyle name="常规 3 2 5 3 3 2 2" xfId="18785"/>
    <cellStyle name="常规 3 2 5 3 3 3" xfId="18786"/>
    <cellStyle name="常规 3 2 5 3 3 4" xfId="18787"/>
    <cellStyle name="常规 3 2 5 3 4" xfId="18788"/>
    <cellStyle name="常规 3 2 5 3 4 2" xfId="18789"/>
    <cellStyle name="常规 3 2 5 3 5" xfId="18790"/>
    <cellStyle name="常规 3 2 5 3 6" xfId="18791"/>
    <cellStyle name="常规 3 2 5 4" xfId="18792"/>
    <cellStyle name="常规 3 2 5 4 2" xfId="18793"/>
    <cellStyle name="常规 3 2 5 4 2 2" xfId="18794"/>
    <cellStyle name="常规 3 2 5 4 3" xfId="18795"/>
    <cellStyle name="常规 3 2 5 4 4" xfId="18796"/>
    <cellStyle name="常规 3 2 5 5" xfId="18797"/>
    <cellStyle name="常规 3 2 5 5 2" xfId="18798"/>
    <cellStyle name="常规 3 2 5 5 2 2" xfId="18799"/>
    <cellStyle name="常规 3 2 5 5 3" xfId="18800"/>
    <cellStyle name="常规 3 2 5 5 4" xfId="18801"/>
    <cellStyle name="常规 3 2 5 6" xfId="18802"/>
    <cellStyle name="常规 3 2 5 6 2" xfId="18803"/>
    <cellStyle name="常规 3 2 5 7" xfId="18804"/>
    <cellStyle name="常规 3 2 5 8" xfId="18805"/>
    <cellStyle name="常规 3 2 5 9" xfId="18806"/>
    <cellStyle name="常规 3 2 6" xfId="18807"/>
    <cellStyle name="常规 3 2 6 10" xfId="18808"/>
    <cellStyle name="常规 3 2 6 2" xfId="18809"/>
    <cellStyle name="常规 3 2 6 2 2" xfId="18810"/>
    <cellStyle name="常规 3 2 6 2 2 2" xfId="18811"/>
    <cellStyle name="常规 3 2 6 2 2 2 2" xfId="18812"/>
    <cellStyle name="常规 3 2 6 2 2 2 2 2" xfId="18813"/>
    <cellStyle name="常规 3 2 6 2 2 2 3" xfId="18814"/>
    <cellStyle name="常规 3 2 6 2 2 2 4" xfId="18815"/>
    <cellStyle name="常规 3 2 6 2 2 3" xfId="18816"/>
    <cellStyle name="常规 3 2 6 2 2 3 2" xfId="18817"/>
    <cellStyle name="常规 3 2 6 2 2 4" xfId="18818"/>
    <cellStyle name="常规 3 2 6 2 2 5" xfId="18819"/>
    <cellStyle name="常规 3 2 6 2 3" xfId="18820"/>
    <cellStyle name="常规 3 2 6 2 3 2" xfId="18821"/>
    <cellStyle name="常规 3 2 6 2 3 2 2" xfId="18822"/>
    <cellStyle name="常规 3 2 6 2 3 3" xfId="18823"/>
    <cellStyle name="常规 3 2 6 2 3 4" xfId="18824"/>
    <cellStyle name="常规 3 2 6 2 4" xfId="18825"/>
    <cellStyle name="常规 3 2 6 2 4 2" xfId="18826"/>
    <cellStyle name="常规 3 2 6 2 5" xfId="18827"/>
    <cellStyle name="常规 3 2 6 2 6" xfId="18828"/>
    <cellStyle name="常规 3 2 6 3" xfId="18829"/>
    <cellStyle name="常规 3 2 6 3 2" xfId="18830"/>
    <cellStyle name="常规 3 2 6 3 2 2" xfId="18831"/>
    <cellStyle name="常规 3 2 6 3 2 2 2" xfId="18832"/>
    <cellStyle name="常规 3 2 6 3 2 3" xfId="18833"/>
    <cellStyle name="常规 3 2 6 3 2 4" xfId="18834"/>
    <cellStyle name="常规 3 2 6 3 3" xfId="18835"/>
    <cellStyle name="常规 3 2 6 3 3 2" xfId="18836"/>
    <cellStyle name="常规 3 2 6 3 3 2 2" xfId="18837"/>
    <cellStyle name="常规 3 2 6 3 3 3" xfId="18838"/>
    <cellStyle name="常规 3 2 6 3 3 4" xfId="18839"/>
    <cellStyle name="常规 3 2 6 3 4" xfId="18840"/>
    <cellStyle name="常规 3 2 6 3 4 2" xfId="18841"/>
    <cellStyle name="常规 3 2 6 3 5" xfId="18842"/>
    <cellStyle name="常规 3 2 6 3 6" xfId="18843"/>
    <cellStyle name="常规 3 2 6 4" xfId="18844"/>
    <cellStyle name="常规 3 2 6 4 2" xfId="18845"/>
    <cellStyle name="常规 3 2 6 4 2 2" xfId="18846"/>
    <cellStyle name="常规 3 2 6 4 3" xfId="18847"/>
    <cellStyle name="常规 3 2 6 4 4" xfId="18848"/>
    <cellStyle name="常规 3 2 6 5" xfId="18849"/>
    <cellStyle name="常规 3 2 6 5 2" xfId="18850"/>
    <cellStyle name="常规 3 2 6 5 2 2" xfId="18851"/>
    <cellStyle name="常规 3 2 6 5 3" xfId="18852"/>
    <cellStyle name="常规 3 2 6 5 4" xfId="18853"/>
    <cellStyle name="常规 3 2 6 6" xfId="18854"/>
    <cellStyle name="常规 3 2 6 6 2" xfId="18855"/>
    <cellStyle name="常规 3 2 6 7" xfId="18856"/>
    <cellStyle name="常规 3 2 6 8" xfId="18857"/>
    <cellStyle name="常规 3 2 6 9" xfId="18858"/>
    <cellStyle name="常规 3 2 7" xfId="18859"/>
    <cellStyle name="常规 3 2 7 2" xfId="18860"/>
    <cellStyle name="常规 3 2 7 2 2" xfId="18861"/>
    <cellStyle name="常规 3 2 7 2 2 2" xfId="18862"/>
    <cellStyle name="常规 3 2 7 2 2 2 2" xfId="18863"/>
    <cellStyle name="常规 3 2 7 2 2 3" xfId="18864"/>
    <cellStyle name="常规 3 2 7 2 2 4" xfId="18865"/>
    <cellStyle name="常规 3 2 7 2 3" xfId="18866"/>
    <cellStyle name="常规 3 2 7 2 3 2" xfId="18867"/>
    <cellStyle name="常规 3 2 7 2 3 2 2" xfId="18868"/>
    <cellStyle name="常规 3 2 7 2 3 3" xfId="18869"/>
    <cellStyle name="常规 3 2 7 2 3 4" xfId="18870"/>
    <cellStyle name="常规 3 2 7 2 4" xfId="18871"/>
    <cellStyle name="常规 3 2 7 2 4 2" xfId="18872"/>
    <cellStyle name="常规 3 2 7 2 5" xfId="18873"/>
    <cellStyle name="常规 3 2 7 2 6" xfId="18874"/>
    <cellStyle name="常规 3 2 7 3" xfId="18875"/>
    <cellStyle name="常规 3 2 7 3 2" xfId="18876"/>
    <cellStyle name="常规 3 2 7 3 2 2" xfId="18877"/>
    <cellStyle name="常规 3 2 7 3 3" xfId="18878"/>
    <cellStyle name="常规 3 2 7 3 4" xfId="18879"/>
    <cellStyle name="常规 3 2 7 4" xfId="18880"/>
    <cellStyle name="常规 3 2 7 4 2" xfId="18881"/>
    <cellStyle name="常规 3 2 7 4 2 2" xfId="18882"/>
    <cellStyle name="常规 3 2 7 4 3" xfId="18883"/>
    <cellStyle name="常规 3 2 7 4 4" xfId="18884"/>
    <cellStyle name="常规 3 2 7 5" xfId="18885"/>
    <cellStyle name="常规 3 2 7 5 2" xfId="18886"/>
    <cellStyle name="常规 3 2 7 6" xfId="18887"/>
    <cellStyle name="常规 3 2 7 7" xfId="18888"/>
    <cellStyle name="常规 3 2 7 8" xfId="18889"/>
    <cellStyle name="常规 3 2 8" xfId="18890"/>
    <cellStyle name="常规 3 2 8 2" xfId="18891"/>
    <cellStyle name="常规 3 2 8 2 2" xfId="18892"/>
    <cellStyle name="常规 3 2 8 2 2 2" xfId="18893"/>
    <cellStyle name="常规 3 2 8 2 3" xfId="18894"/>
    <cellStyle name="常规 3 2 8 2 4" xfId="18895"/>
    <cellStyle name="常规 3 2 8 3" xfId="18896"/>
    <cellStyle name="常规 3 2 8 3 2" xfId="18897"/>
    <cellStyle name="常规 3 2 8 4" xfId="18898"/>
    <cellStyle name="常规 3 2 8 4 2" xfId="18899"/>
    <cellStyle name="常规 3 2 8 5" xfId="18900"/>
    <cellStyle name="常规 3 2 8 6" xfId="18901"/>
    <cellStyle name="常规 3 2 8 7" xfId="18902"/>
    <cellStyle name="常规 3 2 9" xfId="18903"/>
    <cellStyle name="常规 3 2 9 2" xfId="18904"/>
    <cellStyle name="常规 3 2 9 2 2" xfId="18905"/>
    <cellStyle name="常规 3 2 9 2 2 2" xfId="18906"/>
    <cellStyle name="常规 3 2 9 2 3" xfId="18907"/>
    <cellStyle name="常规 3 2 9 2 4" xfId="18908"/>
    <cellStyle name="常规 3 2 9 3" xfId="18909"/>
    <cellStyle name="常规 3 2 9 3 2" xfId="18910"/>
    <cellStyle name="常规 3 2 9 4" xfId="18911"/>
    <cellStyle name="常规 3 2 9 5" xfId="18912"/>
    <cellStyle name="常规 3 3" xfId="18913"/>
    <cellStyle name="常规 3 3 2" xfId="18914"/>
    <cellStyle name="常规 3 3 2 2" xfId="18915"/>
    <cellStyle name="常规 3 3 2 2 2" xfId="18916"/>
    <cellStyle name="常规 3 3 2 2 3" xfId="18917"/>
    <cellStyle name="常规 3 3 2 3" xfId="18918"/>
    <cellStyle name="常规 3 3 2 3 2" xfId="18919"/>
    <cellStyle name="常规 3 3 2 4" xfId="18920"/>
    <cellStyle name="常规 3 3 2 5" xfId="18921"/>
    <cellStyle name="常规 3 3 3" xfId="18922"/>
    <cellStyle name="常规 3 3 3 2" xfId="18923"/>
    <cellStyle name="常规 3 3 3 2 2" xfId="18924"/>
    <cellStyle name="常规 3 3 3 2 2 2" xfId="18925"/>
    <cellStyle name="常规 3 3 3 2 3" xfId="18926"/>
    <cellStyle name="常规 3 3 3 2 4" xfId="18927"/>
    <cellStyle name="常规 3 3 3 2 5" xfId="18928"/>
    <cellStyle name="常规 3 3 3 3" xfId="18929"/>
    <cellStyle name="常规 3 3 3 3 2" xfId="18930"/>
    <cellStyle name="常规 3 3 3 4" xfId="18931"/>
    <cellStyle name="常规 3 3 3 5" xfId="18932"/>
    <cellStyle name="常规 3 3 3 6" xfId="18933"/>
    <cellStyle name="常规 3 3 3 7" xfId="18934"/>
    <cellStyle name="常规 3 3 4" xfId="18935"/>
    <cellStyle name="常规 3 3 4 2" xfId="18936"/>
    <cellStyle name="常规 3 3 5" xfId="18937"/>
    <cellStyle name="常规 3 3 6" xfId="18938"/>
    <cellStyle name="常规 3 4" xfId="18939"/>
    <cellStyle name="常规 3 4 2" xfId="18940"/>
    <cellStyle name="常规 3 4 2 2" xfId="18941"/>
    <cellStyle name="常规 3 4 2 2 2" xfId="18942"/>
    <cellStyle name="常规 3 4 2 3" xfId="18943"/>
    <cellStyle name="常规 3 4 2 4" xfId="18944"/>
    <cellStyle name="常规 3 4 2 5" xfId="18945"/>
    <cellStyle name="常规 3 4 3" xfId="18946"/>
    <cellStyle name="常规 3 4 3 2" xfId="18947"/>
    <cellStyle name="常规 3 4 3 3" xfId="18948"/>
    <cellStyle name="常规 3 4 4" xfId="18949"/>
    <cellStyle name="常规 3 4 4 2" xfId="18950"/>
    <cellStyle name="常规 3 4 4 3" xfId="18951"/>
    <cellStyle name="常规 3 4 5" xfId="18952"/>
    <cellStyle name="常规 3 5" xfId="18953"/>
    <cellStyle name="常规 3 5 2" xfId="18954"/>
    <cellStyle name="常规 3 5 2 2" xfId="18955"/>
    <cellStyle name="常规 3 5 2 3" xfId="18956"/>
    <cellStyle name="常规 3 5 3" xfId="18957"/>
    <cellStyle name="常规 3 5 3 2" xfId="18958"/>
    <cellStyle name="常规 3 5 4" xfId="18959"/>
    <cellStyle name="常规 3 6" xfId="18960"/>
    <cellStyle name="常规 3 6 10" xfId="18961"/>
    <cellStyle name="常规 3 6 11" xfId="18962"/>
    <cellStyle name="常规 3 6 12" xfId="18963"/>
    <cellStyle name="常规 3 6 2" xfId="18964"/>
    <cellStyle name="常规 3 6 2 2" xfId="18965"/>
    <cellStyle name="常规 3 6 2 3" xfId="18966"/>
    <cellStyle name="常规 3 6 2 3 2" xfId="18967"/>
    <cellStyle name="常规 3 6 2 3 3" xfId="18968"/>
    <cellStyle name="常规 3 6 2 3 4" xfId="18969"/>
    <cellStyle name="常规 3 6 2 3 5" xfId="18970"/>
    <cellStyle name="常规 3 6 2 3 6" xfId="18971"/>
    <cellStyle name="常规 3 6 2 4" xfId="18972"/>
    <cellStyle name="常规 3 6 2 5" xfId="18973"/>
    <cellStyle name="常规 3 6 2 6" xfId="18974"/>
    <cellStyle name="常规 3 6 2 7" xfId="18975"/>
    <cellStyle name="常规 3 6 2 8" xfId="18976"/>
    <cellStyle name="常规 3 6 2 9" xfId="18977"/>
    <cellStyle name="常规 3 6 3" xfId="18978"/>
    <cellStyle name="常规 3 6 3 2" xfId="18979"/>
    <cellStyle name="常规 3 6 3 2 2" xfId="18980"/>
    <cellStyle name="常规 3 6 3 2 3" xfId="18981"/>
    <cellStyle name="常规 3 6 3 2 4" xfId="18982"/>
    <cellStyle name="常规 3 6 3 2 5" xfId="18983"/>
    <cellStyle name="常规 3 6 3 2 6" xfId="18984"/>
    <cellStyle name="常规 3 6 3 3" xfId="18985"/>
    <cellStyle name="常规 3 6 3 4" xfId="18986"/>
    <cellStyle name="常规 3 6 3 5" xfId="18987"/>
    <cellStyle name="常规 3 6 3 6" xfId="18988"/>
    <cellStyle name="常规 3 6 3 7" xfId="18989"/>
    <cellStyle name="常规 3 6 3 8" xfId="18990"/>
    <cellStyle name="常规 3 6 4" xfId="18991"/>
    <cellStyle name="常规 3 6 4 2" xfId="18992"/>
    <cellStyle name="常规 3 6 4 3" xfId="18993"/>
    <cellStyle name="常规 3 6 4 4" xfId="18994"/>
    <cellStyle name="常规 3 6 4 5" xfId="18995"/>
    <cellStyle name="常规 3 6 4 6" xfId="18996"/>
    <cellStyle name="常规 3 6 5" xfId="18997"/>
    <cellStyle name="常规 3 6 6" xfId="18998"/>
    <cellStyle name="常规 3 6 7" xfId="18999"/>
    <cellStyle name="常规 3 6 8" xfId="19000"/>
    <cellStyle name="常规 3 6 9" xfId="19001"/>
    <cellStyle name="常规 3 7" xfId="19002"/>
    <cellStyle name="常规 3 7 2" xfId="19003"/>
    <cellStyle name="常规 3 8" xfId="19004"/>
    <cellStyle name="常规 3 8 2" xfId="19005"/>
    <cellStyle name="常规 3 9" xfId="19006"/>
    <cellStyle name="常规 3 9 2" xfId="19007"/>
    <cellStyle name="常规 30" xfId="19008"/>
    <cellStyle name="常规 30 2" xfId="19009"/>
    <cellStyle name="常规 30 2 2" xfId="19010"/>
    <cellStyle name="常规 30 2 2 2" xfId="19011"/>
    <cellStyle name="常规 30 2 2 2 2" xfId="19012"/>
    <cellStyle name="常规 30 2 2 2 2 2" xfId="19013"/>
    <cellStyle name="常规 30 2 2 2 3" xfId="19014"/>
    <cellStyle name="常规 30 2 2 2 4" xfId="19015"/>
    <cellStyle name="常规 30 2 2 3" xfId="19016"/>
    <cellStyle name="常规 30 2 2 3 2" xfId="19017"/>
    <cellStyle name="常规 30 2 2 4" xfId="19018"/>
    <cellStyle name="常规 30 2 2 5" xfId="19019"/>
    <cellStyle name="常规 30 2 3" xfId="19020"/>
    <cellStyle name="常规 30 2 3 2" xfId="19021"/>
    <cellStyle name="常规 30 2 3 2 2" xfId="19022"/>
    <cellStyle name="常规 30 2 3 3" xfId="19023"/>
    <cellStyle name="常规 30 2 3 4" xfId="19024"/>
    <cellStyle name="常规 30 2 4" xfId="19025"/>
    <cellStyle name="常规 30 2 4 2" xfId="19026"/>
    <cellStyle name="常规 30 2 5" xfId="19027"/>
    <cellStyle name="常规 30 2 6" xfId="19028"/>
    <cellStyle name="常规 30 3" xfId="19029"/>
    <cellStyle name="常规 30 3 2" xfId="19030"/>
    <cellStyle name="常规 30 3 2 2" xfId="19031"/>
    <cellStyle name="常规 30 3 2 2 2" xfId="19032"/>
    <cellStyle name="常规 30 3 2 3" xfId="19033"/>
    <cellStyle name="常规 30 3 2 4" xfId="19034"/>
    <cellStyle name="常规 30 3 3" xfId="19035"/>
    <cellStyle name="常规 30 3 3 2" xfId="19036"/>
    <cellStyle name="常规 30 3 4" xfId="19037"/>
    <cellStyle name="常规 30 3 5" xfId="19038"/>
    <cellStyle name="常规 30 4" xfId="19039"/>
    <cellStyle name="常规 30 4 2" xfId="19040"/>
    <cellStyle name="常规 30 4 2 2" xfId="19041"/>
    <cellStyle name="常规 30 4 3" xfId="19042"/>
    <cellStyle name="常规 30 4 4" xfId="19043"/>
    <cellStyle name="常规 30 5" xfId="19044"/>
    <cellStyle name="常规 30 5 2" xfId="19045"/>
    <cellStyle name="常规 30 6" xfId="19046"/>
    <cellStyle name="常规 30 7" xfId="19047"/>
    <cellStyle name="常规 30 8" xfId="19048"/>
    <cellStyle name="常规 31" xfId="19049"/>
    <cellStyle name="常规 31 2" xfId="19050"/>
    <cellStyle name="常规 31 3" xfId="19051"/>
    <cellStyle name="常规 32" xfId="19052"/>
    <cellStyle name="常规 32 2" xfId="19053"/>
    <cellStyle name="常规 32 2 2" xfId="19054"/>
    <cellStyle name="常规 32 2 2 2" xfId="19055"/>
    <cellStyle name="常规 32 2 2 2 2" xfId="19056"/>
    <cellStyle name="常规 32 2 2 3" xfId="19057"/>
    <cellStyle name="常规 32 2 2 4" xfId="19058"/>
    <cellStyle name="常规 32 2 3" xfId="19059"/>
    <cellStyle name="常规 32 2 3 2" xfId="19060"/>
    <cellStyle name="常规 32 2 4" xfId="19061"/>
    <cellStyle name="常规 32 2 5" xfId="19062"/>
    <cellStyle name="常规 32 2 6" xfId="19063"/>
    <cellStyle name="常规 32 3" xfId="19064"/>
    <cellStyle name="常规 32 3 2" xfId="19065"/>
    <cellStyle name="常规 32 3 2 2" xfId="19066"/>
    <cellStyle name="常规 32 3 2 3" xfId="19067"/>
    <cellStyle name="常规 32 3 3" xfId="19068"/>
    <cellStyle name="常规 32 3 3 2" xfId="19069"/>
    <cellStyle name="常规 32 3 4" xfId="19070"/>
    <cellStyle name="常规 32 3 4 2" xfId="19071"/>
    <cellStyle name="常规 32 3 5" xfId="19072"/>
    <cellStyle name="常规 32 3 6" xfId="19073"/>
    <cellStyle name="常规 32 3 7" xfId="19074"/>
    <cellStyle name="常规 32 4" xfId="19075"/>
    <cellStyle name="常规 32 4 2" xfId="19076"/>
    <cellStyle name="常规 32 4 3" xfId="19077"/>
    <cellStyle name="常规 32 5" xfId="19078"/>
    <cellStyle name="常规 32 5 2" xfId="19079"/>
    <cellStyle name="常规 32 6" xfId="19080"/>
    <cellStyle name="常规 32 6 2" xfId="19081"/>
    <cellStyle name="常规 32 7" xfId="19082"/>
    <cellStyle name="常规 32 8" xfId="19083"/>
    <cellStyle name="常规 32 9" xfId="19084"/>
    <cellStyle name="常规 33" xfId="19085"/>
    <cellStyle name="常规 33 2" xfId="19086"/>
    <cellStyle name="常规 33 2 2" xfId="19087"/>
    <cellStyle name="常规 33 2 2 2" xfId="19088"/>
    <cellStyle name="常规 33 2 3" xfId="19089"/>
    <cellStyle name="常规 33 2 4" xfId="19090"/>
    <cellStyle name="常规 33 3" xfId="19091"/>
    <cellStyle name="常规 33 3 2" xfId="19092"/>
    <cellStyle name="常规 33 4" xfId="19093"/>
    <cellStyle name="常规 33 5" xfId="19094"/>
    <cellStyle name="常规 33 6" xfId="19095"/>
    <cellStyle name="常规 34" xfId="19096"/>
    <cellStyle name="常规 34 2" xfId="19097"/>
    <cellStyle name="常规 35" xfId="19098"/>
    <cellStyle name="常规 35 2" xfId="19099"/>
    <cellStyle name="常规 35 3" xfId="19100"/>
    <cellStyle name="常规 36" xfId="19101"/>
    <cellStyle name="常规 36 2" xfId="19102"/>
    <cellStyle name="常规 36 2 2" xfId="19103"/>
    <cellStyle name="常规 36 2 2 2" xfId="19104"/>
    <cellStyle name="常规 36 2 3" xfId="19105"/>
    <cellStyle name="常规 36 2 4" xfId="19106"/>
    <cellStyle name="常规 36 3" xfId="19107"/>
    <cellStyle name="常规 36 3 2" xfId="19108"/>
    <cellStyle name="常规 36 4" xfId="19109"/>
    <cellStyle name="常规 36 5" xfId="19110"/>
    <cellStyle name="常规 37" xfId="19111"/>
    <cellStyle name="常规 37 2" xfId="19112"/>
    <cellStyle name="常规 37 3" xfId="19113"/>
    <cellStyle name="常规 37 4" xfId="19114"/>
    <cellStyle name="常规 37 5" xfId="19115"/>
    <cellStyle name="常规 38" xfId="19116"/>
    <cellStyle name="常规 38 2" xfId="19117"/>
    <cellStyle name="常规 38 3" xfId="19118"/>
    <cellStyle name="常规 38 4" xfId="19119"/>
    <cellStyle name="常规 38 5" xfId="19120"/>
    <cellStyle name="常规 39" xfId="19121"/>
    <cellStyle name="常规 39 2" xfId="19122"/>
    <cellStyle name="常规 39 3" xfId="19123"/>
    <cellStyle name="常规 39 4" xfId="19124"/>
    <cellStyle name="常规 39 5" xfId="19125"/>
    <cellStyle name="常规 4" xfId="19126"/>
    <cellStyle name="常规 4 10" xfId="19127"/>
    <cellStyle name="常规 4 10 2" xfId="19128"/>
    <cellStyle name="常规 4 11" xfId="19129"/>
    <cellStyle name="常规 4 11 2" xfId="19130"/>
    <cellStyle name="常规 4 11 3" xfId="19131"/>
    <cellStyle name="常规 4 12" xfId="19132"/>
    <cellStyle name="常规 4 12 2" xfId="19133"/>
    <cellStyle name="常规 4 12 2 2" xfId="19134"/>
    <cellStyle name="常规 4 12 3" xfId="19135"/>
    <cellStyle name="常规 4 12 4" xfId="19136"/>
    <cellStyle name="常规 4 12 5" xfId="19137"/>
    <cellStyle name="常规 4 13" xfId="19138"/>
    <cellStyle name="常规 4 13 2" xfId="19139"/>
    <cellStyle name="常规 4 13 2 2" xfId="19140"/>
    <cellStyle name="常规 4 13 3" xfId="19141"/>
    <cellStyle name="常规 4 13 4" xfId="19142"/>
    <cellStyle name="常规 4 13 5" xfId="19143"/>
    <cellStyle name="常规 4 14" xfId="19144"/>
    <cellStyle name="常规 4 14 2" xfId="19145"/>
    <cellStyle name="常规 4 15" xfId="19146"/>
    <cellStyle name="常规 4 16" xfId="19147"/>
    <cellStyle name="常规 4 17" xfId="19148"/>
    <cellStyle name="常规 4 2" xfId="19149"/>
    <cellStyle name="常规 4 2 10" xfId="19150"/>
    <cellStyle name="常规 4 2 10 2" xfId="19151"/>
    <cellStyle name="常规 4 2 10 3" xfId="19152"/>
    <cellStyle name="常规 4 2 10 4" xfId="19153"/>
    <cellStyle name="常规 4 2 10 5" xfId="19154"/>
    <cellStyle name="常规 4 2 10 6" xfId="19155"/>
    <cellStyle name="常规 4 2 10 7" xfId="19156"/>
    <cellStyle name="常规 4 2 11" xfId="19157"/>
    <cellStyle name="常规 4 2 11 2" xfId="19158"/>
    <cellStyle name="常规 4 2 11 3" xfId="19159"/>
    <cellStyle name="常规 4 2 11 4" xfId="19160"/>
    <cellStyle name="常规 4 2 11 5" xfId="19161"/>
    <cellStyle name="常规 4 2 11 6" xfId="19162"/>
    <cellStyle name="常规 4 2 11 7" xfId="19163"/>
    <cellStyle name="常规 4 2 12" xfId="19164"/>
    <cellStyle name="常规 4 2 13" xfId="19165"/>
    <cellStyle name="常规 4 2 14" xfId="19166"/>
    <cellStyle name="常规 4 2 15" xfId="19167"/>
    <cellStyle name="常规 4 2 16" xfId="19168"/>
    <cellStyle name="常规 4 2 17" xfId="19169"/>
    <cellStyle name="常规 4 2 18" xfId="19170"/>
    <cellStyle name="常规 4 2 2" xfId="19171"/>
    <cellStyle name="常规 4 2 2 10" xfId="19172"/>
    <cellStyle name="常规 4 2 2 11" xfId="19173"/>
    <cellStyle name="常规 4 2 2 12" xfId="19174"/>
    <cellStyle name="常规 4 2 2 13" xfId="19175"/>
    <cellStyle name="常规 4 2 2 14" xfId="19176"/>
    <cellStyle name="常规 4 2 2 15" xfId="19177"/>
    <cellStyle name="常规 4 2 2 2" xfId="19178"/>
    <cellStyle name="常规 4 2 2 2 10" xfId="19179"/>
    <cellStyle name="常规 4 2 2 2 2" xfId="19180"/>
    <cellStyle name="常规 4 2 2 2 2 2" xfId="19181"/>
    <cellStyle name="常规 4 2 2 2 2 2 2" xfId="19182"/>
    <cellStyle name="常规 4 2 2 2 2 2 2 2" xfId="19183"/>
    <cellStyle name="常规 4 2 2 2 2 2 3" xfId="19184"/>
    <cellStyle name="常规 4 2 2 2 2 2 4" xfId="19185"/>
    <cellStyle name="常规 4 2 2 2 2 2 5" xfId="19186"/>
    <cellStyle name="常规 4 2 2 2 2 3" xfId="19187"/>
    <cellStyle name="常规 4 2 2 2 2 3 2" xfId="19188"/>
    <cellStyle name="常规 4 2 2 2 2 3 2 2" xfId="19189"/>
    <cellStyle name="常规 4 2 2 2 2 3 3" xfId="19190"/>
    <cellStyle name="常规 4 2 2 2 2 3 4" xfId="19191"/>
    <cellStyle name="常规 4 2 2 2 2 3 5" xfId="19192"/>
    <cellStyle name="常规 4 2 2 2 2 4" xfId="19193"/>
    <cellStyle name="常规 4 2 2 2 2 4 2" xfId="19194"/>
    <cellStyle name="常规 4 2 2 2 2 4 3" xfId="19195"/>
    <cellStyle name="常规 4 2 2 2 2 5" xfId="19196"/>
    <cellStyle name="常规 4 2 2 2 2 5 2" xfId="19197"/>
    <cellStyle name="常规 4 2 2 2 2 6" xfId="19198"/>
    <cellStyle name="常规 4 2 2 2 2 6 2" xfId="19199"/>
    <cellStyle name="常规 4 2 2 2 2 7" xfId="19200"/>
    <cellStyle name="常规 4 2 2 2 2 8" xfId="19201"/>
    <cellStyle name="常规 4 2 2 2 3" xfId="19202"/>
    <cellStyle name="常规 4 2 2 2 3 2" xfId="19203"/>
    <cellStyle name="常规 4 2 2 2 3 2 2" xfId="19204"/>
    <cellStyle name="常规 4 2 2 2 3 2 3" xfId="19205"/>
    <cellStyle name="常规 4 2 2 2 3 3" xfId="19206"/>
    <cellStyle name="常规 4 2 2 2 3 3 2" xfId="19207"/>
    <cellStyle name="常规 4 2 2 2 3 4" xfId="19208"/>
    <cellStyle name="常规 4 2 2 2 3 4 2" xfId="19209"/>
    <cellStyle name="常规 4 2 2 2 3 5" xfId="19210"/>
    <cellStyle name="常规 4 2 2 2 3 6" xfId="19211"/>
    <cellStyle name="常规 4 2 2 2 3 7" xfId="19212"/>
    <cellStyle name="常规 4 2 2 2 4" xfId="19213"/>
    <cellStyle name="常规 4 2 2 2 4 2" xfId="19214"/>
    <cellStyle name="常规 4 2 2 2 4 2 2" xfId="19215"/>
    <cellStyle name="常规 4 2 2 2 4 2 3" xfId="19216"/>
    <cellStyle name="常规 4 2 2 2 4 3" xfId="19217"/>
    <cellStyle name="常规 4 2 2 2 4 3 2" xfId="19218"/>
    <cellStyle name="常规 4 2 2 2 4 4" xfId="19219"/>
    <cellStyle name="常规 4 2 2 2 4 4 2" xfId="19220"/>
    <cellStyle name="常规 4 2 2 2 4 5" xfId="19221"/>
    <cellStyle name="常规 4 2 2 2 4 6" xfId="19222"/>
    <cellStyle name="常规 4 2 2 2 4 7" xfId="19223"/>
    <cellStyle name="常规 4 2 2 2 5" xfId="19224"/>
    <cellStyle name="常规 4 2 2 2 5 2" xfId="19225"/>
    <cellStyle name="常规 4 2 2 2 5 3" xfId="19226"/>
    <cellStyle name="常规 4 2 2 2 6" xfId="19227"/>
    <cellStyle name="常规 4 2 2 2 6 2" xfId="19228"/>
    <cellStyle name="常规 4 2 2 2 7" xfId="19229"/>
    <cellStyle name="常规 4 2 2 2 7 2" xfId="19230"/>
    <cellStyle name="常规 4 2 2 2 8" xfId="19231"/>
    <cellStyle name="常规 4 2 2 2 9" xfId="19232"/>
    <cellStyle name="常规 4 2 2 3" xfId="19233"/>
    <cellStyle name="常规 4 2 2 3 2" xfId="19234"/>
    <cellStyle name="常规 4 2 2 3 2 2" xfId="19235"/>
    <cellStyle name="常规 4 2 2 3 2 2 2" xfId="19236"/>
    <cellStyle name="常规 4 2 2 3 2 3" xfId="19237"/>
    <cellStyle name="常规 4 2 2 3 2 4" xfId="19238"/>
    <cellStyle name="常规 4 2 2 3 2 5" xfId="19239"/>
    <cellStyle name="常规 4 2 2 3 3" xfId="19240"/>
    <cellStyle name="常规 4 2 2 3 3 2" xfId="19241"/>
    <cellStyle name="常规 4 2 2 3 3 2 2" xfId="19242"/>
    <cellStyle name="常规 4 2 2 3 3 3" xfId="19243"/>
    <cellStyle name="常规 4 2 2 3 3 4" xfId="19244"/>
    <cellStyle name="常规 4 2 2 3 3 5" xfId="19245"/>
    <cellStyle name="常规 4 2 2 3 4" xfId="19246"/>
    <cellStyle name="常规 4 2 2 3 4 2" xfId="19247"/>
    <cellStyle name="常规 4 2 2 3 4 3" xfId="19248"/>
    <cellStyle name="常规 4 2 2 3 5" xfId="19249"/>
    <cellStyle name="常规 4 2 2 3 5 2" xfId="19250"/>
    <cellStyle name="常规 4 2 2 3 6" xfId="19251"/>
    <cellStyle name="常规 4 2 2 3 6 2" xfId="19252"/>
    <cellStyle name="常规 4 2 2 3 7" xfId="19253"/>
    <cellStyle name="常规 4 2 2 3 8" xfId="19254"/>
    <cellStyle name="常规 4 2 2 4" xfId="19255"/>
    <cellStyle name="常规 4 2 2 4 2" xfId="19256"/>
    <cellStyle name="常规 4 2 2 4 2 2" xfId="19257"/>
    <cellStyle name="常规 4 2 2 4 3" xfId="19258"/>
    <cellStyle name="常规 4 2 2 4 4" xfId="19259"/>
    <cellStyle name="常规 4 2 2 4 5" xfId="19260"/>
    <cellStyle name="常规 4 2 2 5" xfId="19261"/>
    <cellStyle name="常规 4 2 2 5 2" xfId="19262"/>
    <cellStyle name="常规 4 2 2 5 2 2" xfId="19263"/>
    <cellStyle name="常规 4 2 2 5 3" xfId="19264"/>
    <cellStyle name="常规 4 2 2 5 4" xfId="19265"/>
    <cellStyle name="常规 4 2 2 5 5" xfId="19266"/>
    <cellStyle name="常规 4 2 2 6" xfId="19267"/>
    <cellStyle name="常规 4 2 2 6 2" xfId="19268"/>
    <cellStyle name="常规 4 2 2 6 2 2" xfId="19269"/>
    <cellStyle name="常规 4 2 2 6 2 3" xfId="19270"/>
    <cellStyle name="常规 4 2 2 6 2 4" xfId="19271"/>
    <cellStyle name="常规 4 2 2 6 2 5" xfId="19272"/>
    <cellStyle name="常规 4 2 2 6 2 6" xfId="19273"/>
    <cellStyle name="常规 4 2 2 6 3" xfId="19274"/>
    <cellStyle name="常规 4 2 2 6 4" xfId="19275"/>
    <cellStyle name="常规 4 2 2 6 5" xfId="19276"/>
    <cellStyle name="常规 4 2 2 6 6" xfId="19277"/>
    <cellStyle name="常规 4 2 2 6 7" xfId="19278"/>
    <cellStyle name="常规 4 2 2 6 8" xfId="19279"/>
    <cellStyle name="常规 4 2 2 6 9" xfId="19280"/>
    <cellStyle name="常规 4 2 2 7" xfId="19281"/>
    <cellStyle name="常规 4 2 2 7 2" xfId="19282"/>
    <cellStyle name="常规 4 2 2 7 3" xfId="19283"/>
    <cellStyle name="常规 4 2 2 7 4" xfId="19284"/>
    <cellStyle name="常规 4 2 2 7 5" xfId="19285"/>
    <cellStyle name="常规 4 2 2 7 6" xfId="19286"/>
    <cellStyle name="常规 4 2 2 7 7" xfId="19287"/>
    <cellStyle name="常规 4 2 2 8" xfId="19288"/>
    <cellStyle name="常规 4 2 2 8 2" xfId="19289"/>
    <cellStyle name="常规 4 2 2 8 3" xfId="19290"/>
    <cellStyle name="常规 4 2 2 8 4" xfId="19291"/>
    <cellStyle name="常规 4 2 2 8 5" xfId="19292"/>
    <cellStyle name="常规 4 2 2 8 6" xfId="19293"/>
    <cellStyle name="常规 4 2 2 8 7" xfId="19294"/>
    <cellStyle name="常规 4 2 2 9" xfId="19295"/>
    <cellStyle name="常规 4 2 2 9 2" xfId="19296"/>
    <cellStyle name="常规 4 2 3" xfId="19297"/>
    <cellStyle name="常规 4 2 3 10" xfId="19298"/>
    <cellStyle name="常规 4 2 3 11" xfId="19299"/>
    <cellStyle name="常规 4 2 3 2" xfId="19300"/>
    <cellStyle name="常规 4 2 3 2 2" xfId="19301"/>
    <cellStyle name="常规 4 2 3 2 2 2" xfId="19302"/>
    <cellStyle name="常规 4 2 3 2 2 2 2" xfId="19303"/>
    <cellStyle name="常规 4 2 3 2 2 2 2 2" xfId="19304"/>
    <cellStyle name="常规 4 2 3 2 2 2 3" xfId="19305"/>
    <cellStyle name="常规 4 2 3 2 2 2 4" xfId="19306"/>
    <cellStyle name="常规 4 2 3 2 2 2 5" xfId="19307"/>
    <cellStyle name="常规 4 2 3 2 2 3" xfId="19308"/>
    <cellStyle name="常规 4 2 3 2 2 3 2" xfId="19309"/>
    <cellStyle name="常规 4 2 3 2 2 3 3" xfId="19310"/>
    <cellStyle name="常规 4 2 3 2 2 4" xfId="19311"/>
    <cellStyle name="常规 4 2 3 2 2 4 2" xfId="19312"/>
    <cellStyle name="常规 4 2 3 2 2 5" xfId="19313"/>
    <cellStyle name="常规 4 2 3 2 2 5 2" xfId="19314"/>
    <cellStyle name="常规 4 2 3 2 2 6" xfId="19315"/>
    <cellStyle name="常规 4 2 3 2 2 7" xfId="19316"/>
    <cellStyle name="常规 4 2 3 2 3" xfId="19317"/>
    <cellStyle name="常规 4 2 3 2 3 2" xfId="19318"/>
    <cellStyle name="常规 4 2 3 2 3 2 2" xfId="19319"/>
    <cellStyle name="常规 4 2 3 2 3 3" xfId="19320"/>
    <cellStyle name="常规 4 2 3 2 3 4" xfId="19321"/>
    <cellStyle name="常规 4 2 3 2 3 5" xfId="19322"/>
    <cellStyle name="常规 4 2 3 2 4" xfId="19323"/>
    <cellStyle name="常规 4 2 3 2 4 2" xfId="19324"/>
    <cellStyle name="常规 4 2 3 2 4 3" xfId="19325"/>
    <cellStyle name="常规 4 2 3 2 5" xfId="19326"/>
    <cellStyle name="常规 4 2 3 2 5 2" xfId="19327"/>
    <cellStyle name="常规 4 2 3 2 6" xfId="19328"/>
    <cellStyle name="常规 4 2 3 2 6 2" xfId="19329"/>
    <cellStyle name="常规 4 2 3 2 7" xfId="19330"/>
    <cellStyle name="常规 4 2 3 2 8" xfId="19331"/>
    <cellStyle name="常规 4 2 3 2 9" xfId="19332"/>
    <cellStyle name="常规 4 2 3 3" xfId="19333"/>
    <cellStyle name="常规 4 2 3 3 2" xfId="19334"/>
    <cellStyle name="常规 4 2 3 3 2 2" xfId="19335"/>
    <cellStyle name="常规 4 2 3 3 2 2 2" xfId="19336"/>
    <cellStyle name="常规 4 2 3 3 2 3" xfId="19337"/>
    <cellStyle name="常规 4 2 3 3 2 4" xfId="19338"/>
    <cellStyle name="常规 4 2 3 3 2 5" xfId="19339"/>
    <cellStyle name="常规 4 2 3 3 3" xfId="19340"/>
    <cellStyle name="常规 4 2 3 3 3 2" xfId="19341"/>
    <cellStyle name="常规 4 2 3 3 3 2 2" xfId="19342"/>
    <cellStyle name="常规 4 2 3 3 3 3" xfId="19343"/>
    <cellStyle name="常规 4 2 3 3 3 4" xfId="19344"/>
    <cellStyle name="常规 4 2 3 3 3 5" xfId="19345"/>
    <cellStyle name="常规 4 2 3 3 4" xfId="19346"/>
    <cellStyle name="常规 4 2 3 3 4 2" xfId="19347"/>
    <cellStyle name="常规 4 2 3 3 4 3" xfId="19348"/>
    <cellStyle name="常规 4 2 3 3 5" xfId="19349"/>
    <cellStyle name="常规 4 2 3 3 5 2" xfId="19350"/>
    <cellStyle name="常规 4 2 3 3 6" xfId="19351"/>
    <cellStyle name="常规 4 2 3 3 6 2" xfId="19352"/>
    <cellStyle name="常规 4 2 3 3 7" xfId="19353"/>
    <cellStyle name="常规 4 2 3 4" xfId="19354"/>
    <cellStyle name="常规 4 2 3 4 2" xfId="19355"/>
    <cellStyle name="常规 4 2 3 4 2 2" xfId="19356"/>
    <cellStyle name="常规 4 2 3 4 2 3" xfId="19357"/>
    <cellStyle name="常规 4 2 3 4 3" xfId="19358"/>
    <cellStyle name="常规 4 2 3 4 3 2" xfId="19359"/>
    <cellStyle name="常规 4 2 3 4 4" xfId="19360"/>
    <cellStyle name="常规 4 2 3 4 4 2" xfId="19361"/>
    <cellStyle name="常规 4 2 3 4 5" xfId="19362"/>
    <cellStyle name="常规 4 2 3 4 6" xfId="19363"/>
    <cellStyle name="常规 4 2 3 4 7" xfId="19364"/>
    <cellStyle name="常规 4 2 3 5" xfId="19365"/>
    <cellStyle name="常规 4 2 3 5 2" xfId="19366"/>
    <cellStyle name="常规 4 2 3 5 2 2" xfId="19367"/>
    <cellStyle name="常规 4 2 3 5 2 3" xfId="19368"/>
    <cellStyle name="常规 4 2 3 5 3" xfId="19369"/>
    <cellStyle name="常规 4 2 3 5 3 2" xfId="19370"/>
    <cellStyle name="常规 4 2 3 5 4" xfId="19371"/>
    <cellStyle name="常规 4 2 3 5 4 2" xfId="19372"/>
    <cellStyle name="常规 4 2 3 5 5" xfId="19373"/>
    <cellStyle name="常规 4 2 3 5 6" xfId="19374"/>
    <cellStyle name="常规 4 2 3 5 7" xfId="19375"/>
    <cellStyle name="常规 4 2 3 6" xfId="19376"/>
    <cellStyle name="常规 4 2 3 6 2" xfId="19377"/>
    <cellStyle name="常规 4 2 3 6 3" xfId="19378"/>
    <cellStyle name="常规 4 2 3 7" xfId="19379"/>
    <cellStyle name="常规 4 2 3 7 2" xfId="19380"/>
    <cellStyle name="常规 4 2 3 8" xfId="19381"/>
    <cellStyle name="常规 4 2 3 8 2" xfId="19382"/>
    <cellStyle name="常规 4 2 3 9" xfId="19383"/>
    <cellStyle name="常规 4 2 3 9 2" xfId="19384"/>
    <cellStyle name="常规 4 2 4" xfId="19385"/>
    <cellStyle name="常规 4 2 4 2" xfId="19386"/>
    <cellStyle name="常规 4 2 4 2 2" xfId="19387"/>
    <cellStyle name="常规 4 2 4 2 2 2" xfId="19388"/>
    <cellStyle name="常规 4 2 4 2 2 2 2" xfId="19389"/>
    <cellStyle name="常规 4 2 4 2 2 3" xfId="19390"/>
    <cellStyle name="常规 4 2 4 2 2 4" xfId="19391"/>
    <cellStyle name="常规 4 2 4 2 2 5" xfId="19392"/>
    <cellStyle name="常规 4 2 4 2 3" xfId="19393"/>
    <cellStyle name="常规 4 2 4 2 3 2" xfId="19394"/>
    <cellStyle name="常规 4 2 4 2 3 2 2" xfId="19395"/>
    <cellStyle name="常规 4 2 4 2 3 3" xfId="19396"/>
    <cellStyle name="常规 4 2 4 2 3 4" xfId="19397"/>
    <cellStyle name="常规 4 2 4 2 3 5" xfId="19398"/>
    <cellStyle name="常规 4 2 4 2 4" xfId="19399"/>
    <cellStyle name="常规 4 2 4 2 4 2" xfId="19400"/>
    <cellStyle name="常规 4 2 4 2 4 3" xfId="19401"/>
    <cellStyle name="常规 4 2 4 2 5" xfId="19402"/>
    <cellStyle name="常规 4 2 4 2 5 2" xfId="19403"/>
    <cellStyle name="常规 4 2 4 2 6" xfId="19404"/>
    <cellStyle name="常规 4 2 4 2 6 2" xfId="19405"/>
    <cellStyle name="常规 4 2 4 2 7" xfId="19406"/>
    <cellStyle name="常规 4 2 4 2 8" xfId="19407"/>
    <cellStyle name="常规 4 2 4 3" xfId="19408"/>
    <cellStyle name="常规 4 2 4 3 2" xfId="19409"/>
    <cellStyle name="常规 4 2 4 3 2 2" xfId="19410"/>
    <cellStyle name="常规 4 2 4 3 3" xfId="19411"/>
    <cellStyle name="常规 4 2 4 3 4" xfId="19412"/>
    <cellStyle name="常规 4 2 4 3 5" xfId="19413"/>
    <cellStyle name="常规 4 2 4 4" xfId="19414"/>
    <cellStyle name="常规 4 2 4 4 2" xfId="19415"/>
    <cellStyle name="常规 4 2 4 4 2 2" xfId="19416"/>
    <cellStyle name="常规 4 2 4 4 3" xfId="19417"/>
    <cellStyle name="常规 4 2 4 4 4" xfId="19418"/>
    <cellStyle name="常规 4 2 4 4 5" xfId="19419"/>
    <cellStyle name="常规 4 2 4 5" xfId="19420"/>
    <cellStyle name="常规 4 2 4 5 2" xfId="19421"/>
    <cellStyle name="常规 4 2 4 5 3" xfId="19422"/>
    <cellStyle name="常规 4 2 4 6" xfId="19423"/>
    <cellStyle name="常规 4 2 4 6 2" xfId="19424"/>
    <cellStyle name="常规 4 2 4 7" xfId="19425"/>
    <cellStyle name="常规 4 2 4 7 2" xfId="19426"/>
    <cellStyle name="常规 4 2 4 8" xfId="19427"/>
    <cellStyle name="常规 4 2 4 8 2" xfId="19428"/>
    <cellStyle name="常规 4 2 4 9" xfId="19429"/>
    <cellStyle name="常规 4 2 5" xfId="19430"/>
    <cellStyle name="常规 4 2 5 2" xfId="19431"/>
    <cellStyle name="常规 4 2 5 2 2" xfId="19432"/>
    <cellStyle name="常规 4 2 5 2 2 2" xfId="19433"/>
    <cellStyle name="常规 4 2 5 2 3" xfId="19434"/>
    <cellStyle name="常规 4 2 5 2 4" xfId="19435"/>
    <cellStyle name="常规 4 2 5 2 5" xfId="19436"/>
    <cellStyle name="常规 4 2 5 3" xfId="19437"/>
    <cellStyle name="常规 4 2 5 3 2" xfId="19438"/>
    <cellStyle name="常规 4 2 5 3 2 2" xfId="19439"/>
    <cellStyle name="常规 4 2 5 3 3" xfId="19440"/>
    <cellStyle name="常规 4 2 5 3 4" xfId="19441"/>
    <cellStyle name="常规 4 2 5 3 5" xfId="19442"/>
    <cellStyle name="常规 4 2 5 4" xfId="19443"/>
    <cellStyle name="常规 4 2 5 4 2" xfId="19444"/>
    <cellStyle name="常规 4 2 5 4 3" xfId="19445"/>
    <cellStyle name="常规 4 2 5 5" xfId="19446"/>
    <cellStyle name="常规 4 2 5 5 2" xfId="19447"/>
    <cellStyle name="常规 4 2 5 6" xfId="19448"/>
    <cellStyle name="常规 4 2 5 6 2" xfId="19449"/>
    <cellStyle name="常规 4 2 5 7" xfId="19450"/>
    <cellStyle name="常规 4 2 5 7 2" xfId="19451"/>
    <cellStyle name="常规 4 2 5 8" xfId="19452"/>
    <cellStyle name="常规 4 2 6" xfId="19453"/>
    <cellStyle name="常规 4 2 6 2" xfId="19454"/>
    <cellStyle name="常规 4 2 6 2 2" xfId="19455"/>
    <cellStyle name="常规 4 2 6 3" xfId="19456"/>
    <cellStyle name="常规 4 2 6 4" xfId="19457"/>
    <cellStyle name="常规 4 2 6 5" xfId="19458"/>
    <cellStyle name="常规 4 2 7" xfId="19459"/>
    <cellStyle name="常规 4 2 7 2" xfId="19460"/>
    <cellStyle name="常规 4 2 7 2 2" xfId="19461"/>
    <cellStyle name="常规 4 2 7 3" xfId="19462"/>
    <cellStyle name="常规 4 2 7 4" xfId="19463"/>
    <cellStyle name="常规 4 2 7 5" xfId="19464"/>
    <cellStyle name="常规 4 2 8" xfId="19465"/>
    <cellStyle name="常规 4 2 8 2" xfId="19466"/>
    <cellStyle name="常规 4 2 8 2 2" xfId="19467"/>
    <cellStyle name="常规 4 2 8 3" xfId="19468"/>
    <cellStyle name="常规 4 2 9" xfId="19469"/>
    <cellStyle name="常规 4 2 9 2" xfId="19470"/>
    <cellStyle name="常规 4 3" xfId="19471"/>
    <cellStyle name="常规 4 3 10" xfId="19472"/>
    <cellStyle name="常规 4 3 10 2" xfId="19473"/>
    <cellStyle name="常规 4 3 11" xfId="19474"/>
    <cellStyle name="常规 4 3 11 2" xfId="19475"/>
    <cellStyle name="常规 4 3 12" xfId="19476"/>
    <cellStyle name="常规 4 3 13" xfId="19477"/>
    <cellStyle name="常规 4 3 14" xfId="19478"/>
    <cellStyle name="常规 4 3 2" xfId="19479"/>
    <cellStyle name="常规 4 3 2 10" xfId="19480"/>
    <cellStyle name="常规 4 3 2 11" xfId="19481"/>
    <cellStyle name="常规 4 3 2 2" xfId="19482"/>
    <cellStyle name="常规 4 3 2 2 10" xfId="19483"/>
    <cellStyle name="常规 4 3 2 2 2" xfId="19484"/>
    <cellStyle name="常规 4 3 2 2 2 2" xfId="19485"/>
    <cellStyle name="常规 4 3 2 2 2 2 2" xfId="19486"/>
    <cellStyle name="常规 4 3 2 2 2 2 2 2" xfId="19487"/>
    <cellStyle name="常规 4 3 2 2 2 2 3" xfId="19488"/>
    <cellStyle name="常规 4 3 2 2 2 2 4" xfId="19489"/>
    <cellStyle name="常规 4 3 2 2 2 2 5" xfId="19490"/>
    <cellStyle name="常规 4 3 2 2 2 3" xfId="19491"/>
    <cellStyle name="常规 4 3 2 2 2 3 2" xfId="19492"/>
    <cellStyle name="常规 4 3 2 2 2 3 2 2" xfId="19493"/>
    <cellStyle name="常规 4 3 2 2 2 3 3" xfId="19494"/>
    <cellStyle name="常规 4 3 2 2 2 3 4" xfId="19495"/>
    <cellStyle name="常规 4 3 2 2 2 3 5" xfId="19496"/>
    <cellStyle name="常规 4 3 2 2 2 4" xfId="19497"/>
    <cellStyle name="常规 4 3 2 2 2 4 2" xfId="19498"/>
    <cellStyle name="常规 4 3 2 2 2 4 3" xfId="19499"/>
    <cellStyle name="常规 4 3 2 2 2 5" xfId="19500"/>
    <cellStyle name="常规 4 3 2 2 2 5 2" xfId="19501"/>
    <cellStyle name="常规 4 3 2 2 2 6" xfId="19502"/>
    <cellStyle name="常规 4 3 2 2 2 6 2" xfId="19503"/>
    <cellStyle name="常规 4 3 2 2 2 7" xfId="19504"/>
    <cellStyle name="常规 4 3 2 2 2 8" xfId="19505"/>
    <cellStyle name="常规 4 3 2 2 3" xfId="19506"/>
    <cellStyle name="常规 4 3 2 2 3 2" xfId="19507"/>
    <cellStyle name="常规 4 3 2 2 3 2 2" xfId="19508"/>
    <cellStyle name="常规 4 3 2 2 3 2 3" xfId="19509"/>
    <cellStyle name="常规 4 3 2 2 3 3" xfId="19510"/>
    <cellStyle name="常规 4 3 2 2 3 3 2" xfId="19511"/>
    <cellStyle name="常规 4 3 2 2 3 4" xfId="19512"/>
    <cellStyle name="常规 4 3 2 2 3 4 2" xfId="19513"/>
    <cellStyle name="常规 4 3 2 2 3 5" xfId="19514"/>
    <cellStyle name="常规 4 3 2 2 3 6" xfId="19515"/>
    <cellStyle name="常规 4 3 2 2 3 7" xfId="19516"/>
    <cellStyle name="常规 4 3 2 2 4" xfId="19517"/>
    <cellStyle name="常规 4 3 2 2 4 2" xfId="19518"/>
    <cellStyle name="常规 4 3 2 2 4 2 2" xfId="19519"/>
    <cellStyle name="常规 4 3 2 2 4 3" xfId="19520"/>
    <cellStyle name="常规 4 3 2 2 4 4" xfId="19521"/>
    <cellStyle name="常规 4 3 2 2 4 5" xfId="19522"/>
    <cellStyle name="常规 4 3 2 2 5" xfId="19523"/>
    <cellStyle name="常规 4 3 2 2 5 2" xfId="19524"/>
    <cellStyle name="常规 4 3 2 2 5 3" xfId="19525"/>
    <cellStyle name="常规 4 3 2 2 6" xfId="19526"/>
    <cellStyle name="常规 4 3 2 2 6 2" xfId="19527"/>
    <cellStyle name="常规 4 3 2 2 7" xfId="19528"/>
    <cellStyle name="常规 4 3 2 2 7 2" xfId="19529"/>
    <cellStyle name="常规 4 3 2 2 8" xfId="19530"/>
    <cellStyle name="常规 4 3 2 2 8 2" xfId="19531"/>
    <cellStyle name="常规 4 3 2 2 9" xfId="19532"/>
    <cellStyle name="常规 4 3 2 3" xfId="19533"/>
    <cellStyle name="常规 4 3 2 3 2" xfId="19534"/>
    <cellStyle name="常规 4 3 2 3 2 2" xfId="19535"/>
    <cellStyle name="常规 4 3 2 3 2 2 2" xfId="19536"/>
    <cellStyle name="常规 4 3 2 3 2 2 3" xfId="19537"/>
    <cellStyle name="常规 4 3 2 3 2 3" xfId="19538"/>
    <cellStyle name="常规 4 3 2 3 2 3 2" xfId="19539"/>
    <cellStyle name="常规 4 3 2 3 2 4" xfId="19540"/>
    <cellStyle name="常规 4 3 2 3 2 4 2" xfId="19541"/>
    <cellStyle name="常规 4 3 2 3 2 5" xfId="19542"/>
    <cellStyle name="常规 4 3 2 3 2 6" xfId="19543"/>
    <cellStyle name="常规 4 3 2 3 2 7" xfId="19544"/>
    <cellStyle name="常规 4 3 2 3 3" xfId="19545"/>
    <cellStyle name="常规 4 3 2 3 3 2" xfId="19546"/>
    <cellStyle name="常规 4 3 2 3 3 2 2" xfId="19547"/>
    <cellStyle name="常规 4 3 2 3 3 3" xfId="19548"/>
    <cellStyle name="常规 4 3 2 3 3 4" xfId="19549"/>
    <cellStyle name="常规 4 3 2 3 3 5" xfId="19550"/>
    <cellStyle name="常规 4 3 2 3 4" xfId="19551"/>
    <cellStyle name="常规 4 3 2 3 4 2" xfId="19552"/>
    <cellStyle name="常规 4 3 2 3 4 3" xfId="19553"/>
    <cellStyle name="常规 4 3 2 3 5" xfId="19554"/>
    <cellStyle name="常规 4 3 2 3 5 2" xfId="19555"/>
    <cellStyle name="常规 4 3 2 3 6" xfId="19556"/>
    <cellStyle name="常规 4 3 2 3 6 2" xfId="19557"/>
    <cellStyle name="常规 4 3 2 3 7" xfId="19558"/>
    <cellStyle name="常规 4 3 2 3 8" xfId="19559"/>
    <cellStyle name="常规 4 3 2 3 9" xfId="19560"/>
    <cellStyle name="常规 4 3 2 4" xfId="19561"/>
    <cellStyle name="常规 4 3 2 4 2" xfId="19562"/>
    <cellStyle name="常规 4 3 2 4 2 2" xfId="19563"/>
    <cellStyle name="常规 4 3 2 4 2 3" xfId="19564"/>
    <cellStyle name="常规 4 3 2 4 3" xfId="19565"/>
    <cellStyle name="常规 4 3 2 4 3 2" xfId="19566"/>
    <cellStyle name="常规 4 3 2 4 4" xfId="19567"/>
    <cellStyle name="常规 4 3 2 4 4 2" xfId="19568"/>
    <cellStyle name="常规 4 3 2 4 5" xfId="19569"/>
    <cellStyle name="常规 4 3 2 4 6" xfId="19570"/>
    <cellStyle name="常规 4 3 2 4 7" xfId="19571"/>
    <cellStyle name="常规 4 3 2 5" xfId="19572"/>
    <cellStyle name="常规 4 3 2 5 2" xfId="19573"/>
    <cellStyle name="常规 4 3 2 5 2 2" xfId="19574"/>
    <cellStyle name="常规 4 3 2 5 2 3" xfId="19575"/>
    <cellStyle name="常规 4 3 2 5 3" xfId="19576"/>
    <cellStyle name="常规 4 3 2 5 3 2" xfId="19577"/>
    <cellStyle name="常规 4 3 2 5 4" xfId="19578"/>
    <cellStyle name="常规 4 3 2 5 4 2" xfId="19579"/>
    <cellStyle name="常规 4 3 2 5 5" xfId="19580"/>
    <cellStyle name="常规 4 3 2 5 6" xfId="19581"/>
    <cellStyle name="常规 4 3 2 5 7" xfId="19582"/>
    <cellStyle name="常规 4 3 2 6" xfId="19583"/>
    <cellStyle name="常规 4 3 2 6 2" xfId="19584"/>
    <cellStyle name="常规 4 3 2 6 3" xfId="19585"/>
    <cellStyle name="常规 4 3 2 7" xfId="19586"/>
    <cellStyle name="常规 4 3 2 7 2" xfId="19587"/>
    <cellStyle name="常规 4 3 2 8" xfId="19588"/>
    <cellStyle name="常规 4 3 2 8 2" xfId="19589"/>
    <cellStyle name="常规 4 3 2 9" xfId="19590"/>
    <cellStyle name="常规 4 3 2 9 2" xfId="19591"/>
    <cellStyle name="常规 4 3 3" xfId="19592"/>
    <cellStyle name="常规 4 3 3 10" xfId="19593"/>
    <cellStyle name="常规 4 3 3 11" xfId="19594"/>
    <cellStyle name="常规 4 3 3 2" xfId="19595"/>
    <cellStyle name="常规 4 3 3 2 2" xfId="19596"/>
    <cellStyle name="常规 4 3 3 2 2 2" xfId="19597"/>
    <cellStyle name="常规 4 3 3 2 2 2 2" xfId="19598"/>
    <cellStyle name="常规 4 3 3 2 2 2 2 2" xfId="19599"/>
    <cellStyle name="常规 4 3 3 2 2 2 3" xfId="19600"/>
    <cellStyle name="常规 4 3 3 2 2 2 4" xfId="19601"/>
    <cellStyle name="常规 4 3 3 2 2 3" xfId="19602"/>
    <cellStyle name="常规 4 3 3 2 2 3 2" xfId="19603"/>
    <cellStyle name="常规 4 3 3 2 2 4" xfId="19604"/>
    <cellStyle name="常规 4 3 3 2 2 5" xfId="19605"/>
    <cellStyle name="常规 4 3 3 2 3" xfId="19606"/>
    <cellStyle name="常规 4 3 3 2 3 2" xfId="19607"/>
    <cellStyle name="常规 4 3 3 2 3 2 2" xfId="19608"/>
    <cellStyle name="常规 4 3 3 2 3 3" xfId="19609"/>
    <cellStyle name="常规 4 3 3 2 3 4" xfId="19610"/>
    <cellStyle name="常规 4 3 3 2 4" xfId="19611"/>
    <cellStyle name="常规 4 3 3 2 4 2" xfId="19612"/>
    <cellStyle name="常规 4 3 3 2 5" xfId="19613"/>
    <cellStyle name="常规 4 3 3 2 6" xfId="19614"/>
    <cellStyle name="常规 4 3 3 2 7" xfId="19615"/>
    <cellStyle name="常规 4 3 3 3" xfId="19616"/>
    <cellStyle name="常规 4 3 3 3 2" xfId="19617"/>
    <cellStyle name="常规 4 3 3 3 2 2" xfId="19618"/>
    <cellStyle name="常规 4 3 3 3 2 2 2" xfId="19619"/>
    <cellStyle name="常规 4 3 3 3 2 3" xfId="19620"/>
    <cellStyle name="常规 4 3 3 3 2 4" xfId="19621"/>
    <cellStyle name="常规 4 3 3 3 2 5" xfId="19622"/>
    <cellStyle name="常规 4 3 3 3 3" xfId="19623"/>
    <cellStyle name="常规 4 3 3 3 3 2" xfId="19624"/>
    <cellStyle name="常规 4 3 3 3 3 2 2" xfId="19625"/>
    <cellStyle name="常规 4 3 3 3 3 3" xfId="19626"/>
    <cellStyle name="常规 4 3 3 3 3 4" xfId="19627"/>
    <cellStyle name="常规 4 3 3 3 3 5" xfId="19628"/>
    <cellStyle name="常规 4 3 3 3 4" xfId="19629"/>
    <cellStyle name="常规 4 3 3 3 4 2" xfId="19630"/>
    <cellStyle name="常规 4 3 3 3 4 3" xfId="19631"/>
    <cellStyle name="常规 4 3 3 3 5" xfId="19632"/>
    <cellStyle name="常规 4 3 3 3 5 2" xfId="19633"/>
    <cellStyle name="常规 4 3 3 3 6" xfId="19634"/>
    <cellStyle name="常规 4 3 3 3 6 2" xfId="19635"/>
    <cellStyle name="常规 4 3 3 3 7" xfId="19636"/>
    <cellStyle name="常规 4 3 3 4" xfId="19637"/>
    <cellStyle name="常规 4 3 3 4 2" xfId="19638"/>
    <cellStyle name="常规 4 3 3 4 2 2" xfId="19639"/>
    <cellStyle name="常规 4 3 3 4 2 3" xfId="19640"/>
    <cellStyle name="常规 4 3 3 4 3" xfId="19641"/>
    <cellStyle name="常规 4 3 3 4 3 2" xfId="19642"/>
    <cellStyle name="常规 4 3 3 4 4" xfId="19643"/>
    <cellStyle name="常规 4 3 3 4 4 2" xfId="19644"/>
    <cellStyle name="常规 4 3 3 4 5" xfId="19645"/>
    <cellStyle name="常规 4 3 3 4 6" xfId="19646"/>
    <cellStyle name="常规 4 3 3 4 7" xfId="19647"/>
    <cellStyle name="常规 4 3 3 5" xfId="19648"/>
    <cellStyle name="常规 4 3 3 5 2" xfId="19649"/>
    <cellStyle name="常规 4 3 3 5 2 2" xfId="19650"/>
    <cellStyle name="常规 4 3 3 5 3" xfId="19651"/>
    <cellStyle name="常规 4 3 3 5 4" xfId="19652"/>
    <cellStyle name="常规 4 3 3 5 5" xfId="19653"/>
    <cellStyle name="常规 4 3 3 6" xfId="19654"/>
    <cellStyle name="常规 4 3 3 6 2" xfId="19655"/>
    <cellStyle name="常规 4 3 3 6 3" xfId="19656"/>
    <cellStyle name="常规 4 3 3 7" xfId="19657"/>
    <cellStyle name="常规 4 3 3 7 2" xfId="19658"/>
    <cellStyle name="常规 4 3 3 8" xfId="19659"/>
    <cellStyle name="常规 4 3 3 8 2" xfId="19660"/>
    <cellStyle name="常规 4 3 3 9" xfId="19661"/>
    <cellStyle name="常规 4 3 3 9 2" xfId="19662"/>
    <cellStyle name="常规 4 3 4" xfId="19663"/>
    <cellStyle name="常规 4 3 4 2" xfId="19664"/>
    <cellStyle name="常规 4 3 4 2 2" xfId="19665"/>
    <cellStyle name="常规 4 3 4 2 2 2" xfId="19666"/>
    <cellStyle name="常规 4 3 4 2 2 2 2" xfId="19667"/>
    <cellStyle name="常规 4 3 4 2 2 3" xfId="19668"/>
    <cellStyle name="常规 4 3 4 2 2 4" xfId="19669"/>
    <cellStyle name="常规 4 3 4 2 3" xfId="19670"/>
    <cellStyle name="常规 4 3 4 2 3 2" xfId="19671"/>
    <cellStyle name="常规 4 3 4 2 3 2 2" xfId="19672"/>
    <cellStyle name="常规 4 3 4 2 3 3" xfId="19673"/>
    <cellStyle name="常规 4 3 4 2 3 4" xfId="19674"/>
    <cellStyle name="常规 4 3 4 2 4" xfId="19675"/>
    <cellStyle name="常规 4 3 4 2 4 2" xfId="19676"/>
    <cellStyle name="常规 4 3 4 2 5" xfId="19677"/>
    <cellStyle name="常规 4 3 4 2 6" xfId="19678"/>
    <cellStyle name="常规 4 3 4 3" xfId="19679"/>
    <cellStyle name="常规 4 3 4 3 2" xfId="19680"/>
    <cellStyle name="常规 4 3 4 3 2 2" xfId="19681"/>
    <cellStyle name="常规 4 3 4 3 3" xfId="19682"/>
    <cellStyle name="常规 4 3 4 3 4" xfId="19683"/>
    <cellStyle name="常规 4 3 4 4" xfId="19684"/>
    <cellStyle name="常规 4 3 4 4 2" xfId="19685"/>
    <cellStyle name="常规 4 3 4 4 2 2" xfId="19686"/>
    <cellStyle name="常规 4 3 4 4 3" xfId="19687"/>
    <cellStyle name="常规 4 3 4 4 4" xfId="19688"/>
    <cellStyle name="常规 4 3 4 5" xfId="19689"/>
    <cellStyle name="常规 4 3 4 5 2" xfId="19690"/>
    <cellStyle name="常规 4 3 4 6" xfId="19691"/>
    <cellStyle name="常规 4 3 4 7" xfId="19692"/>
    <cellStyle name="常规 4 3 4 8" xfId="19693"/>
    <cellStyle name="常规 4 3 4 9" xfId="19694"/>
    <cellStyle name="常规 4 3 5" xfId="19695"/>
    <cellStyle name="常规 4 3 5 2" xfId="19696"/>
    <cellStyle name="常规 4 3 5 2 2" xfId="19697"/>
    <cellStyle name="常规 4 3 5 2 2 2" xfId="19698"/>
    <cellStyle name="常规 4 3 5 2 3" xfId="19699"/>
    <cellStyle name="常规 4 3 5 2 4" xfId="19700"/>
    <cellStyle name="常规 4 3 5 3" xfId="19701"/>
    <cellStyle name="常规 4 3 5 3 2" xfId="19702"/>
    <cellStyle name="常规 4 3 5 3 2 2" xfId="19703"/>
    <cellStyle name="常规 4 3 5 3 3" xfId="19704"/>
    <cellStyle name="常规 4 3 5 3 4" xfId="19705"/>
    <cellStyle name="常规 4 3 5 4" xfId="19706"/>
    <cellStyle name="常规 4 3 5 4 2" xfId="19707"/>
    <cellStyle name="常规 4 3 5 5" xfId="19708"/>
    <cellStyle name="常规 4 3 5 6" xfId="19709"/>
    <cellStyle name="常规 4 3 5 7" xfId="19710"/>
    <cellStyle name="常规 4 3 6" xfId="19711"/>
    <cellStyle name="常规 4 3 6 2" xfId="19712"/>
    <cellStyle name="常规 4 3 6 2 2" xfId="19713"/>
    <cellStyle name="常规 4 3 6 2 3" xfId="19714"/>
    <cellStyle name="常规 4 3 6 3" xfId="19715"/>
    <cellStyle name="常规 4 3 6 3 2" xfId="19716"/>
    <cellStyle name="常规 4 3 6 4" xfId="19717"/>
    <cellStyle name="常规 4 3 6 4 2" xfId="19718"/>
    <cellStyle name="常规 4 3 6 5" xfId="19719"/>
    <cellStyle name="常规 4 3 6 6" xfId="19720"/>
    <cellStyle name="常规 4 3 6 7" xfId="19721"/>
    <cellStyle name="常规 4 3 7" xfId="19722"/>
    <cellStyle name="常规 4 3 7 2" xfId="19723"/>
    <cellStyle name="常规 4 3 7 2 2" xfId="19724"/>
    <cellStyle name="常规 4 3 7 2 3" xfId="19725"/>
    <cellStyle name="常规 4 3 7 3" xfId="19726"/>
    <cellStyle name="常规 4 3 7 3 2" xfId="19727"/>
    <cellStyle name="常规 4 3 7 4" xfId="19728"/>
    <cellStyle name="常规 4 3 7 4 2" xfId="19729"/>
    <cellStyle name="常规 4 3 7 5" xfId="19730"/>
    <cellStyle name="常规 4 3 7 6" xfId="19731"/>
    <cellStyle name="常规 4 3 7 7" xfId="19732"/>
    <cellStyle name="常规 4 3 8" xfId="19733"/>
    <cellStyle name="常规 4 3 8 2" xfId="19734"/>
    <cellStyle name="常规 4 3 8 3" xfId="19735"/>
    <cellStyle name="常规 4 3 9" xfId="19736"/>
    <cellStyle name="常规 4 3 9 2" xfId="19737"/>
    <cellStyle name="常规 4 4" xfId="19738"/>
    <cellStyle name="常规 4 4 10" xfId="19739"/>
    <cellStyle name="常规 4 4 11" xfId="19740"/>
    <cellStyle name="常规 4 4 12" xfId="19741"/>
    <cellStyle name="常规 4 4 2" xfId="19742"/>
    <cellStyle name="常规 4 4 2 2" xfId="19743"/>
    <cellStyle name="常规 4 4 2 2 2" xfId="19744"/>
    <cellStyle name="常规 4 4 2 2 3" xfId="19745"/>
    <cellStyle name="常规 4 4 2 2 4" xfId="19746"/>
    <cellStyle name="常规 4 4 2 2 5" xfId="19747"/>
    <cellStyle name="常规 4 4 2 2 6" xfId="19748"/>
    <cellStyle name="常规 4 4 2 3" xfId="19749"/>
    <cellStyle name="常规 4 4 2 4" xfId="19750"/>
    <cellStyle name="常规 4 4 2 5" xfId="19751"/>
    <cellStyle name="常规 4 4 2 6" xfId="19752"/>
    <cellStyle name="常规 4 4 2 7" xfId="19753"/>
    <cellStyle name="常规 4 4 2 8" xfId="19754"/>
    <cellStyle name="常规 4 4 2 9" xfId="19755"/>
    <cellStyle name="常规 4 4 3" xfId="19756"/>
    <cellStyle name="常规 4 4 3 2" xfId="19757"/>
    <cellStyle name="常规 4 4 3 3" xfId="19758"/>
    <cellStyle name="常规 4 4 3 4" xfId="19759"/>
    <cellStyle name="常规 4 4 3 5" xfId="19760"/>
    <cellStyle name="常规 4 4 3 6" xfId="19761"/>
    <cellStyle name="常规 4 4 3 7" xfId="19762"/>
    <cellStyle name="常规 4 4 4" xfId="19763"/>
    <cellStyle name="常规 4 4 5" xfId="19764"/>
    <cellStyle name="常规 4 4 6" xfId="19765"/>
    <cellStyle name="常规 4 4 7" xfId="19766"/>
    <cellStyle name="常规 4 4 8" xfId="19767"/>
    <cellStyle name="常规 4 4 9" xfId="19768"/>
    <cellStyle name="常规 4 5" xfId="19769"/>
    <cellStyle name="常规 4 5 10" xfId="19770"/>
    <cellStyle name="常规 4 5 10 2" xfId="19771"/>
    <cellStyle name="常规 4 5 11" xfId="19772"/>
    <cellStyle name="常规 4 5 12" xfId="19773"/>
    <cellStyle name="常规 4 5 13" xfId="19774"/>
    <cellStyle name="常规 4 5 14" xfId="19775"/>
    <cellStyle name="常规 4 5 2" xfId="19776"/>
    <cellStyle name="常规 4 5 2 10" xfId="19777"/>
    <cellStyle name="常规 4 5 2 11" xfId="19778"/>
    <cellStyle name="常规 4 5 2 2" xfId="19779"/>
    <cellStyle name="常规 4 5 2 2 2" xfId="19780"/>
    <cellStyle name="常规 4 5 2 2 2 2" xfId="19781"/>
    <cellStyle name="常规 4 5 2 2 2 2 2" xfId="19782"/>
    <cellStyle name="常规 4 5 2 2 2 2 2 2" xfId="19783"/>
    <cellStyle name="常规 4 5 2 2 2 2 3" xfId="19784"/>
    <cellStyle name="常规 4 5 2 2 2 2 4" xfId="19785"/>
    <cellStyle name="常规 4 5 2 2 2 2 5" xfId="19786"/>
    <cellStyle name="常规 4 5 2 2 2 3" xfId="19787"/>
    <cellStyle name="常规 4 5 2 2 2 3 2" xfId="19788"/>
    <cellStyle name="常规 4 5 2 2 2 3 3" xfId="19789"/>
    <cellStyle name="常规 4 5 2 2 2 4" xfId="19790"/>
    <cellStyle name="常规 4 5 2 2 2 4 2" xfId="19791"/>
    <cellStyle name="常规 4 5 2 2 2 5" xfId="19792"/>
    <cellStyle name="常规 4 5 2 2 2 5 2" xfId="19793"/>
    <cellStyle name="常规 4 5 2 2 2 6" xfId="19794"/>
    <cellStyle name="常规 4 5 2 2 2 7" xfId="19795"/>
    <cellStyle name="常规 4 5 2 2 3" xfId="19796"/>
    <cellStyle name="常规 4 5 2 2 3 2" xfId="19797"/>
    <cellStyle name="常规 4 5 2 2 3 2 2" xfId="19798"/>
    <cellStyle name="常规 4 5 2 2 3 3" xfId="19799"/>
    <cellStyle name="常规 4 5 2 2 3 4" xfId="19800"/>
    <cellStyle name="常规 4 5 2 2 3 5" xfId="19801"/>
    <cellStyle name="常规 4 5 2 2 4" xfId="19802"/>
    <cellStyle name="常规 4 5 2 2 4 2" xfId="19803"/>
    <cellStyle name="常规 4 5 2 2 4 3" xfId="19804"/>
    <cellStyle name="常规 4 5 2 2 5" xfId="19805"/>
    <cellStyle name="常规 4 5 2 2 5 2" xfId="19806"/>
    <cellStyle name="常规 4 5 2 2 6" xfId="19807"/>
    <cellStyle name="常规 4 5 2 2 6 2" xfId="19808"/>
    <cellStyle name="常规 4 5 2 2 7" xfId="19809"/>
    <cellStyle name="常规 4 5 2 2 8" xfId="19810"/>
    <cellStyle name="常规 4 5 2 3" xfId="19811"/>
    <cellStyle name="常规 4 5 2 3 2" xfId="19812"/>
    <cellStyle name="常规 4 5 2 3 2 2" xfId="19813"/>
    <cellStyle name="常规 4 5 2 3 2 2 2" xfId="19814"/>
    <cellStyle name="常规 4 5 2 3 2 2 3" xfId="19815"/>
    <cellStyle name="常规 4 5 2 3 2 3" xfId="19816"/>
    <cellStyle name="常规 4 5 2 3 2 3 2" xfId="19817"/>
    <cellStyle name="常规 4 5 2 3 2 4" xfId="19818"/>
    <cellStyle name="常规 4 5 2 3 2 4 2" xfId="19819"/>
    <cellStyle name="常规 4 5 2 3 2 5" xfId="19820"/>
    <cellStyle name="常规 4 5 2 3 2 6" xfId="19821"/>
    <cellStyle name="常规 4 5 2 3 2 7" xfId="19822"/>
    <cellStyle name="常规 4 5 2 3 3" xfId="19823"/>
    <cellStyle name="常规 4 5 2 3 3 2" xfId="19824"/>
    <cellStyle name="常规 4 5 2 3 3 2 2" xfId="19825"/>
    <cellStyle name="常规 4 5 2 3 3 3" xfId="19826"/>
    <cellStyle name="常规 4 5 2 3 3 4" xfId="19827"/>
    <cellStyle name="常规 4 5 2 3 3 5" xfId="19828"/>
    <cellStyle name="常规 4 5 2 3 4" xfId="19829"/>
    <cellStyle name="常规 4 5 2 3 4 2" xfId="19830"/>
    <cellStyle name="常规 4 5 2 3 4 3" xfId="19831"/>
    <cellStyle name="常规 4 5 2 3 5" xfId="19832"/>
    <cellStyle name="常规 4 5 2 3 5 2" xfId="19833"/>
    <cellStyle name="常规 4 5 2 3 6" xfId="19834"/>
    <cellStyle name="常规 4 5 2 3 6 2" xfId="19835"/>
    <cellStyle name="常规 4 5 2 3 7" xfId="19836"/>
    <cellStyle name="常规 4 5 2 3 8" xfId="19837"/>
    <cellStyle name="常规 4 5 2 4" xfId="19838"/>
    <cellStyle name="常规 4 5 2 4 2" xfId="19839"/>
    <cellStyle name="常规 4 5 2 4 2 2" xfId="19840"/>
    <cellStyle name="常规 4 5 2 4 2 3" xfId="19841"/>
    <cellStyle name="常规 4 5 2 4 3" xfId="19842"/>
    <cellStyle name="常规 4 5 2 4 3 2" xfId="19843"/>
    <cellStyle name="常规 4 5 2 4 4" xfId="19844"/>
    <cellStyle name="常规 4 5 2 4 4 2" xfId="19845"/>
    <cellStyle name="常规 4 5 2 4 5" xfId="19846"/>
    <cellStyle name="常规 4 5 2 4 6" xfId="19847"/>
    <cellStyle name="常规 4 5 2 4 7" xfId="19848"/>
    <cellStyle name="常规 4 5 2 5" xfId="19849"/>
    <cellStyle name="常规 4 5 2 5 2" xfId="19850"/>
    <cellStyle name="常规 4 5 2 5 2 2" xfId="19851"/>
    <cellStyle name="常规 4 5 2 5 2 3" xfId="19852"/>
    <cellStyle name="常规 4 5 2 5 3" xfId="19853"/>
    <cellStyle name="常规 4 5 2 5 3 2" xfId="19854"/>
    <cellStyle name="常规 4 5 2 5 4" xfId="19855"/>
    <cellStyle name="常规 4 5 2 5 4 2" xfId="19856"/>
    <cellStyle name="常规 4 5 2 5 5" xfId="19857"/>
    <cellStyle name="常规 4 5 2 5 6" xfId="19858"/>
    <cellStyle name="常规 4 5 2 5 7" xfId="19859"/>
    <cellStyle name="常规 4 5 2 6" xfId="19860"/>
    <cellStyle name="常规 4 5 2 6 2" xfId="19861"/>
    <cellStyle name="常规 4 5 2 6 3" xfId="19862"/>
    <cellStyle name="常规 4 5 2 7" xfId="19863"/>
    <cellStyle name="常规 4 5 2 7 2" xfId="19864"/>
    <cellStyle name="常规 4 5 2 8" xfId="19865"/>
    <cellStyle name="常规 4 5 2 8 2" xfId="19866"/>
    <cellStyle name="常规 4 5 2 9" xfId="19867"/>
    <cellStyle name="常规 4 5 2 9 2" xfId="19868"/>
    <cellStyle name="常规 4 5 3" xfId="19869"/>
    <cellStyle name="常规 4 5 3 2" xfId="19870"/>
    <cellStyle name="常规 4 5 3 2 2" xfId="19871"/>
    <cellStyle name="常规 4 5 3 2 2 2" xfId="19872"/>
    <cellStyle name="常规 4 5 3 2 2 2 2" xfId="19873"/>
    <cellStyle name="常规 4 5 3 2 2 3" xfId="19874"/>
    <cellStyle name="常规 4 5 3 2 2 4" xfId="19875"/>
    <cellStyle name="常规 4 5 3 2 3" xfId="19876"/>
    <cellStyle name="常规 4 5 3 2 3 2" xfId="19877"/>
    <cellStyle name="常规 4 5 3 2 3 2 2" xfId="19878"/>
    <cellStyle name="常规 4 5 3 2 3 3" xfId="19879"/>
    <cellStyle name="常规 4 5 3 2 3 4" xfId="19880"/>
    <cellStyle name="常规 4 5 3 2 4" xfId="19881"/>
    <cellStyle name="常规 4 5 3 2 4 2" xfId="19882"/>
    <cellStyle name="常规 4 5 3 2 5" xfId="19883"/>
    <cellStyle name="常规 4 5 3 2 6" xfId="19884"/>
    <cellStyle name="常规 4 5 3 2 7" xfId="19885"/>
    <cellStyle name="常规 4 5 3 3" xfId="19886"/>
    <cellStyle name="常规 4 5 3 3 2" xfId="19887"/>
    <cellStyle name="常规 4 5 3 3 2 2" xfId="19888"/>
    <cellStyle name="常规 4 5 3 3 2 3" xfId="19889"/>
    <cellStyle name="常规 4 5 3 3 3" xfId="19890"/>
    <cellStyle name="常规 4 5 3 3 3 2" xfId="19891"/>
    <cellStyle name="常规 4 5 3 3 4" xfId="19892"/>
    <cellStyle name="常规 4 5 3 3 4 2" xfId="19893"/>
    <cellStyle name="常规 4 5 3 3 5" xfId="19894"/>
    <cellStyle name="常规 4 5 3 3 6" xfId="19895"/>
    <cellStyle name="常规 4 5 3 3 7" xfId="19896"/>
    <cellStyle name="常规 4 5 3 4" xfId="19897"/>
    <cellStyle name="常规 4 5 3 4 2" xfId="19898"/>
    <cellStyle name="常规 4 5 3 4 2 2" xfId="19899"/>
    <cellStyle name="常规 4 5 3 4 3" xfId="19900"/>
    <cellStyle name="常规 4 5 3 4 4" xfId="19901"/>
    <cellStyle name="常规 4 5 3 4 5" xfId="19902"/>
    <cellStyle name="常规 4 5 3 5" xfId="19903"/>
    <cellStyle name="常规 4 5 3 5 2" xfId="19904"/>
    <cellStyle name="常规 4 5 3 5 3" xfId="19905"/>
    <cellStyle name="常规 4 5 3 6" xfId="19906"/>
    <cellStyle name="常规 4 5 3 6 2" xfId="19907"/>
    <cellStyle name="常规 4 5 3 7" xfId="19908"/>
    <cellStyle name="常规 4 5 3 7 2" xfId="19909"/>
    <cellStyle name="常规 4 5 3 8" xfId="19910"/>
    <cellStyle name="常规 4 5 3 8 2" xfId="19911"/>
    <cellStyle name="常规 4 5 3 9" xfId="19912"/>
    <cellStyle name="常规 4 5 4" xfId="19913"/>
    <cellStyle name="常规 4 5 4 2" xfId="19914"/>
    <cellStyle name="常规 4 5 4 2 2" xfId="19915"/>
    <cellStyle name="常规 4 5 4 2 2 2" xfId="19916"/>
    <cellStyle name="常规 4 5 4 2 3" xfId="19917"/>
    <cellStyle name="常规 4 5 4 2 4" xfId="19918"/>
    <cellStyle name="常规 4 5 4 3" xfId="19919"/>
    <cellStyle name="常规 4 5 4 3 2" xfId="19920"/>
    <cellStyle name="常规 4 5 4 3 2 2" xfId="19921"/>
    <cellStyle name="常规 4 5 4 3 3" xfId="19922"/>
    <cellStyle name="常规 4 5 4 3 4" xfId="19923"/>
    <cellStyle name="常规 4 5 4 4" xfId="19924"/>
    <cellStyle name="常规 4 5 4 4 2" xfId="19925"/>
    <cellStyle name="常规 4 5 4 5" xfId="19926"/>
    <cellStyle name="常规 4 5 4 6" xfId="19927"/>
    <cellStyle name="常规 4 5 4 7" xfId="19928"/>
    <cellStyle name="常规 4 5 4 8" xfId="19929"/>
    <cellStyle name="常规 4 5 5" xfId="19930"/>
    <cellStyle name="常规 4 5 5 2" xfId="19931"/>
    <cellStyle name="常规 4 5 5 2 2" xfId="19932"/>
    <cellStyle name="常规 4 5 5 3" xfId="19933"/>
    <cellStyle name="常规 4 5 5 4" xfId="19934"/>
    <cellStyle name="常规 4 5 5 5" xfId="19935"/>
    <cellStyle name="常规 4 5 6" xfId="19936"/>
    <cellStyle name="常规 4 5 6 2" xfId="19937"/>
    <cellStyle name="常规 4 5 6 2 2" xfId="19938"/>
    <cellStyle name="常规 4 5 6 2 3" xfId="19939"/>
    <cellStyle name="常规 4 5 6 3" xfId="19940"/>
    <cellStyle name="常规 4 5 6 3 2" xfId="19941"/>
    <cellStyle name="常规 4 5 6 4" xfId="19942"/>
    <cellStyle name="常规 4 5 6 4 2" xfId="19943"/>
    <cellStyle name="常规 4 5 6 5" xfId="19944"/>
    <cellStyle name="常规 4 5 6 6" xfId="19945"/>
    <cellStyle name="常规 4 5 6 7" xfId="19946"/>
    <cellStyle name="常规 4 5 7" xfId="19947"/>
    <cellStyle name="常规 4 5 7 2" xfId="19948"/>
    <cellStyle name="常规 4 5 7 3" xfId="19949"/>
    <cellStyle name="常规 4 5 7 4" xfId="19950"/>
    <cellStyle name="常规 4 5 7 5" xfId="19951"/>
    <cellStyle name="常规 4 5 7 6" xfId="19952"/>
    <cellStyle name="常规 4 5 7 7" xfId="19953"/>
    <cellStyle name="常规 4 5 7 8" xfId="19954"/>
    <cellStyle name="常规 4 5 8" xfId="19955"/>
    <cellStyle name="常规 4 5 8 2" xfId="19956"/>
    <cellStyle name="常规 4 5 9" xfId="19957"/>
    <cellStyle name="常规 4 5 9 2" xfId="19958"/>
    <cellStyle name="常规 4 6" xfId="19959"/>
    <cellStyle name="常规 4 6 10" xfId="19960"/>
    <cellStyle name="常规 4 6 2" xfId="19961"/>
    <cellStyle name="常规 4 6 2 2" xfId="19962"/>
    <cellStyle name="常规 4 6 2 2 2" xfId="19963"/>
    <cellStyle name="常规 4 6 2 2 2 2" xfId="19964"/>
    <cellStyle name="常规 4 6 2 2 2 2 2" xfId="19965"/>
    <cellStyle name="常规 4 6 2 2 2 3" xfId="19966"/>
    <cellStyle name="常规 4 6 2 2 2 4" xfId="19967"/>
    <cellStyle name="常规 4 6 2 2 3" xfId="19968"/>
    <cellStyle name="常规 4 6 2 2 3 2" xfId="19969"/>
    <cellStyle name="常规 4 6 2 2 3 2 2" xfId="19970"/>
    <cellStyle name="常规 4 6 2 2 3 3" xfId="19971"/>
    <cellStyle name="常规 4 6 2 2 3 4" xfId="19972"/>
    <cellStyle name="常规 4 6 2 2 4" xfId="19973"/>
    <cellStyle name="常规 4 6 2 2 4 2" xfId="19974"/>
    <cellStyle name="常规 4 6 2 2 5" xfId="19975"/>
    <cellStyle name="常规 4 6 2 2 6" xfId="19976"/>
    <cellStyle name="常规 4 6 2 3" xfId="19977"/>
    <cellStyle name="常规 4 6 2 3 2" xfId="19978"/>
    <cellStyle name="常规 4 6 2 3 2 2" xfId="19979"/>
    <cellStyle name="常规 4 6 2 3 3" xfId="19980"/>
    <cellStyle name="常规 4 6 2 3 4" xfId="19981"/>
    <cellStyle name="常规 4 6 2 4" xfId="19982"/>
    <cellStyle name="常规 4 6 2 4 2" xfId="19983"/>
    <cellStyle name="常规 4 6 2 4 2 2" xfId="19984"/>
    <cellStyle name="常规 4 6 2 4 3" xfId="19985"/>
    <cellStyle name="常规 4 6 2 4 4" xfId="19986"/>
    <cellStyle name="常规 4 6 2 5" xfId="19987"/>
    <cellStyle name="常规 4 6 2 5 2" xfId="19988"/>
    <cellStyle name="常规 4 6 2 6" xfId="19989"/>
    <cellStyle name="常规 4 6 2 7" xfId="19990"/>
    <cellStyle name="常规 4 6 2 8" xfId="19991"/>
    <cellStyle name="常规 4 6 3" xfId="19992"/>
    <cellStyle name="常规 4 6 3 2" xfId="19993"/>
    <cellStyle name="常规 4 6 3 2 2" xfId="19994"/>
    <cellStyle name="常规 4 6 3 2 2 2" xfId="19995"/>
    <cellStyle name="常规 4 6 3 2 3" xfId="19996"/>
    <cellStyle name="常规 4 6 3 2 4" xfId="19997"/>
    <cellStyle name="常规 4 6 3 3" xfId="19998"/>
    <cellStyle name="常规 4 6 3 3 2" xfId="19999"/>
    <cellStyle name="常规 4 6 3 3 2 2" xfId="20000"/>
    <cellStyle name="常规 4 6 3 3 3" xfId="20001"/>
    <cellStyle name="常规 4 6 3 3 4" xfId="20002"/>
    <cellStyle name="常规 4 6 3 4" xfId="20003"/>
    <cellStyle name="常规 4 6 3 4 2" xfId="20004"/>
    <cellStyle name="常规 4 6 3 5" xfId="20005"/>
    <cellStyle name="常规 4 6 3 6" xfId="20006"/>
    <cellStyle name="常规 4 6 3 7" xfId="20007"/>
    <cellStyle name="常规 4 6 4" xfId="20008"/>
    <cellStyle name="常规 4 6 4 2" xfId="20009"/>
    <cellStyle name="常规 4 6 4 2 2" xfId="20010"/>
    <cellStyle name="常规 4 6 4 3" xfId="20011"/>
    <cellStyle name="常规 4 6 4 4" xfId="20012"/>
    <cellStyle name="常规 4 6 4 5" xfId="20013"/>
    <cellStyle name="常规 4 6 5" xfId="20014"/>
    <cellStyle name="常规 4 6 5 2" xfId="20015"/>
    <cellStyle name="常规 4 6 5 2 2" xfId="20016"/>
    <cellStyle name="常规 4 6 5 3" xfId="20017"/>
    <cellStyle name="常规 4 6 5 4" xfId="20018"/>
    <cellStyle name="常规 4 6 5 5" xfId="20019"/>
    <cellStyle name="常规 4 6 6" xfId="20020"/>
    <cellStyle name="常规 4 6 6 2" xfId="20021"/>
    <cellStyle name="常规 4 6 6 3" xfId="20022"/>
    <cellStyle name="常规 4 6 7" xfId="20023"/>
    <cellStyle name="常规 4 6 7 2" xfId="20024"/>
    <cellStyle name="常规 4 6 8" xfId="20025"/>
    <cellStyle name="常规 4 6 9" xfId="20026"/>
    <cellStyle name="常规 4 7" xfId="20027"/>
    <cellStyle name="常规 4 7 2" xfId="20028"/>
    <cellStyle name="常规 4 7 2 2" xfId="20029"/>
    <cellStyle name="常规 4 7 2 2 2" xfId="20030"/>
    <cellStyle name="常规 4 7 2 2 2 2" xfId="20031"/>
    <cellStyle name="常规 4 7 2 2 2 2 2" xfId="20032"/>
    <cellStyle name="常规 4 7 2 2 2 3" xfId="20033"/>
    <cellStyle name="常规 4 7 2 2 2 4" xfId="20034"/>
    <cellStyle name="常规 4 7 2 2 3" xfId="20035"/>
    <cellStyle name="常规 4 7 2 2 3 2" xfId="20036"/>
    <cellStyle name="常规 4 7 2 2 3 2 2" xfId="20037"/>
    <cellStyle name="常规 4 7 2 2 3 3" xfId="20038"/>
    <cellStyle name="常规 4 7 2 2 3 4" xfId="20039"/>
    <cellStyle name="常规 4 7 2 2 4" xfId="20040"/>
    <cellStyle name="常规 4 7 2 2 4 2" xfId="20041"/>
    <cellStyle name="常规 4 7 2 2 5" xfId="20042"/>
    <cellStyle name="常规 4 7 2 2 6" xfId="20043"/>
    <cellStyle name="常规 4 7 2 3" xfId="20044"/>
    <cellStyle name="常规 4 7 2 3 2" xfId="20045"/>
    <cellStyle name="常规 4 7 2 3 2 2" xfId="20046"/>
    <cellStyle name="常规 4 7 2 3 3" xfId="20047"/>
    <cellStyle name="常规 4 7 2 3 4" xfId="20048"/>
    <cellStyle name="常规 4 7 2 4" xfId="20049"/>
    <cellStyle name="常规 4 7 2 4 2" xfId="20050"/>
    <cellStyle name="常规 4 7 2 4 2 2" xfId="20051"/>
    <cellStyle name="常规 4 7 2 4 3" xfId="20052"/>
    <cellStyle name="常规 4 7 2 4 4" xfId="20053"/>
    <cellStyle name="常规 4 7 2 5" xfId="20054"/>
    <cellStyle name="常规 4 7 2 5 2" xfId="20055"/>
    <cellStyle name="常规 4 7 2 6" xfId="20056"/>
    <cellStyle name="常规 4 7 2 7" xfId="20057"/>
    <cellStyle name="常规 4 7 2 8" xfId="20058"/>
    <cellStyle name="常规 4 7 3" xfId="20059"/>
    <cellStyle name="常规 4 7 3 2" xfId="20060"/>
    <cellStyle name="常规 4 7 3 2 2" xfId="20061"/>
    <cellStyle name="常规 4 7 3 2 2 2" xfId="20062"/>
    <cellStyle name="常规 4 7 3 2 3" xfId="20063"/>
    <cellStyle name="常规 4 7 3 2 4" xfId="20064"/>
    <cellStyle name="常规 4 7 3 3" xfId="20065"/>
    <cellStyle name="常规 4 7 3 3 2" xfId="20066"/>
    <cellStyle name="常规 4 7 3 3 2 2" xfId="20067"/>
    <cellStyle name="常规 4 7 3 3 3" xfId="20068"/>
    <cellStyle name="常规 4 7 3 3 4" xfId="20069"/>
    <cellStyle name="常规 4 7 3 4" xfId="20070"/>
    <cellStyle name="常规 4 7 3 4 2" xfId="20071"/>
    <cellStyle name="常规 4 7 3 5" xfId="20072"/>
    <cellStyle name="常规 4 7 3 6" xfId="20073"/>
    <cellStyle name="常规 4 7 4" xfId="20074"/>
    <cellStyle name="常规 4 7 4 2" xfId="20075"/>
    <cellStyle name="常规 4 7 4 2 2" xfId="20076"/>
    <cellStyle name="常规 4 7 4 3" xfId="20077"/>
    <cellStyle name="常规 4 7 4 4" xfId="20078"/>
    <cellStyle name="常规 4 7 5" xfId="20079"/>
    <cellStyle name="常规 4 7 5 2" xfId="20080"/>
    <cellStyle name="常规 4 7 5 2 2" xfId="20081"/>
    <cellStyle name="常规 4 7 5 3" xfId="20082"/>
    <cellStyle name="常规 4 7 5 4" xfId="20083"/>
    <cellStyle name="常规 4 7 6" xfId="20084"/>
    <cellStyle name="常规 4 7 6 2" xfId="20085"/>
    <cellStyle name="常规 4 7 7" xfId="20086"/>
    <cellStyle name="常规 4 7 8" xfId="20087"/>
    <cellStyle name="常规 4 7 9" xfId="20088"/>
    <cellStyle name="常规 4 8" xfId="20089"/>
    <cellStyle name="常规 4 8 2" xfId="20090"/>
    <cellStyle name="常规 4 8 2 2" xfId="20091"/>
    <cellStyle name="常规 4 8 2 2 2" xfId="20092"/>
    <cellStyle name="常规 4 8 2 2 2 2" xfId="20093"/>
    <cellStyle name="常规 4 8 2 2 3" xfId="20094"/>
    <cellStyle name="常规 4 8 2 2 4" xfId="20095"/>
    <cellStyle name="常规 4 8 2 3" xfId="20096"/>
    <cellStyle name="常规 4 8 2 3 2" xfId="20097"/>
    <cellStyle name="常规 4 8 2 3 2 2" xfId="20098"/>
    <cellStyle name="常规 4 8 2 3 3" xfId="20099"/>
    <cellStyle name="常规 4 8 2 3 4" xfId="20100"/>
    <cellStyle name="常规 4 8 2 4" xfId="20101"/>
    <cellStyle name="常规 4 8 2 4 2" xfId="20102"/>
    <cellStyle name="常规 4 8 2 5" xfId="20103"/>
    <cellStyle name="常规 4 8 2 6" xfId="20104"/>
    <cellStyle name="常规 4 8 3" xfId="20105"/>
    <cellStyle name="常规 4 8 3 2" xfId="20106"/>
    <cellStyle name="常规 4 8 3 2 2" xfId="20107"/>
    <cellStyle name="常规 4 8 3 3" xfId="20108"/>
    <cellStyle name="常规 4 8 3 4" xfId="20109"/>
    <cellStyle name="常规 4 8 4" xfId="20110"/>
    <cellStyle name="常规 4 8 4 2" xfId="20111"/>
    <cellStyle name="常规 4 8 4 2 2" xfId="20112"/>
    <cellStyle name="常规 4 8 4 3" xfId="20113"/>
    <cellStyle name="常规 4 8 4 4" xfId="20114"/>
    <cellStyle name="常规 4 8 5" xfId="20115"/>
    <cellStyle name="常规 4 8 5 2" xfId="20116"/>
    <cellStyle name="常规 4 8 6" xfId="20117"/>
    <cellStyle name="常规 4 8 7" xfId="20118"/>
    <cellStyle name="常规 4 8 8" xfId="20119"/>
    <cellStyle name="常规 4 9" xfId="20120"/>
    <cellStyle name="常规 4 9 2" xfId="20121"/>
    <cellStyle name="常规 4 9 2 2" xfId="20122"/>
    <cellStyle name="常规 4 9 2 2 2" xfId="20123"/>
    <cellStyle name="常规 4 9 2 3" xfId="20124"/>
    <cellStyle name="常规 4 9 2 4" xfId="20125"/>
    <cellStyle name="常规 4 9 3" xfId="20126"/>
    <cellStyle name="常规 4 9 3 2" xfId="20127"/>
    <cellStyle name="常规 4 9 4" xfId="20128"/>
    <cellStyle name="常规 4 9 4 2" xfId="20129"/>
    <cellStyle name="常规 4 9 5" xfId="20130"/>
    <cellStyle name="常规 4 9 6" xfId="20131"/>
    <cellStyle name="常规 4 9 7" xfId="20132"/>
    <cellStyle name="常规 40" xfId="20133"/>
    <cellStyle name="常规 40 2" xfId="20134"/>
    <cellStyle name="常规 40 2 2" xfId="20135"/>
    <cellStyle name="常规 40 2 3" xfId="20136"/>
    <cellStyle name="常规 40 2 4" xfId="20137"/>
    <cellStyle name="常规 40 2 5" xfId="20138"/>
    <cellStyle name="常规 40 3" xfId="20139"/>
    <cellStyle name="常规 40 4" xfId="20140"/>
    <cellStyle name="常规 40 5" xfId="20141"/>
    <cellStyle name="常规 40 6" xfId="20142"/>
    <cellStyle name="常规 41" xfId="20143"/>
    <cellStyle name="常规 41 2" xfId="20144"/>
    <cellStyle name="常规 41 3" xfId="20145"/>
    <cellStyle name="常规 42" xfId="20146"/>
    <cellStyle name="常规 42 2" xfId="20147"/>
    <cellStyle name="常规 42 3" xfId="20148"/>
    <cellStyle name="常规 42 4" xfId="20149"/>
    <cellStyle name="常规 42 5" xfId="20150"/>
    <cellStyle name="常规 43" xfId="20151"/>
    <cellStyle name="常规 43 2" xfId="20152"/>
    <cellStyle name="常规 43 2 2" xfId="20153"/>
    <cellStyle name="常规 43 2 3" xfId="20154"/>
    <cellStyle name="常规 43 2 4" xfId="20155"/>
    <cellStyle name="常规 43 2 5" xfId="20156"/>
    <cellStyle name="常规 43 3" xfId="20157"/>
    <cellStyle name="常规 43 4" xfId="20158"/>
    <cellStyle name="常规 43 5" xfId="20159"/>
    <cellStyle name="常规 43 6" xfId="20160"/>
    <cellStyle name="常规 44" xfId="20161"/>
    <cellStyle name="常规 44 2" xfId="20162"/>
    <cellStyle name="常规 44 3" xfId="20163"/>
    <cellStyle name="常规 44 4" xfId="20164"/>
    <cellStyle name="常规 44 5" xfId="20165"/>
    <cellStyle name="常规 45" xfId="20166"/>
    <cellStyle name="常规 45 2" xfId="20167"/>
    <cellStyle name="常规 45 3" xfId="20168"/>
    <cellStyle name="常规 45 4" xfId="20169"/>
    <cellStyle name="常规 45 5" xfId="20170"/>
    <cellStyle name="常规 46" xfId="20171"/>
    <cellStyle name="常规 46 2" xfId="20172"/>
    <cellStyle name="常规 46 3" xfId="20173"/>
    <cellStyle name="常规 46 4" xfId="20174"/>
    <cellStyle name="常规 46 5" xfId="20175"/>
    <cellStyle name="常规 47" xfId="20176"/>
    <cellStyle name="常规 47 2" xfId="20177"/>
    <cellStyle name="常规 47 3" xfId="20178"/>
    <cellStyle name="常规 47 4" xfId="20179"/>
    <cellStyle name="常规 47 5" xfId="20180"/>
    <cellStyle name="常规 48" xfId="20181"/>
    <cellStyle name="常规 48 2" xfId="20182"/>
    <cellStyle name="常规 48 2 2" xfId="20183"/>
    <cellStyle name="常规 48 3" xfId="20184"/>
    <cellStyle name="常规 48 4" xfId="20185"/>
    <cellStyle name="常规 49" xfId="20186"/>
    <cellStyle name="常规 49 2" xfId="20187"/>
    <cellStyle name="常规 49 2 2" xfId="20188"/>
    <cellStyle name="常规 49 3" xfId="20189"/>
    <cellStyle name="常规 49 4" xfId="20190"/>
    <cellStyle name="常规 5 18" xfId="20191"/>
    <cellStyle name="常规 5 10" xfId="20192"/>
    <cellStyle name="常规 5 10 2" xfId="20193"/>
    <cellStyle name="常规 5 11" xfId="20194"/>
    <cellStyle name="常规 5 11 2" xfId="20195"/>
    <cellStyle name="常规 5 12" xfId="20196"/>
    <cellStyle name="常规 5 12 2" xfId="20197"/>
    <cellStyle name="常规 5 13" xfId="20198"/>
    <cellStyle name="常规 5 14" xfId="20199"/>
    <cellStyle name="常规 5 15" xfId="20200"/>
    <cellStyle name="常规 5 16" xfId="20201"/>
    <cellStyle name="常规 5 2" xfId="20202"/>
    <cellStyle name="常规 5 2 10" xfId="20203"/>
    <cellStyle name="常规 5 2 10 2" xfId="20204"/>
    <cellStyle name="常规 5 2 11" xfId="20205"/>
    <cellStyle name="常规 5 2 12" xfId="20206"/>
    <cellStyle name="常规 5 2 13" xfId="20207"/>
    <cellStyle name="常规 5 2 14" xfId="20208"/>
    <cellStyle name="常规 5 2 2" xfId="20209"/>
    <cellStyle name="常规 5 2 2 10" xfId="20210"/>
    <cellStyle name="常规 5 2 2 11" xfId="20211"/>
    <cellStyle name="常规 5 2 2 12" xfId="20212"/>
    <cellStyle name="常规 5 2 2 13" xfId="20213"/>
    <cellStyle name="常规 5 2 2 14" xfId="20214"/>
    <cellStyle name="常规 5 2 2 2" xfId="20215"/>
    <cellStyle name="常规 5 2 2 2 10" xfId="20216"/>
    <cellStyle name="常规 5 2 2 2 11" xfId="20217"/>
    <cellStyle name="常规 5 2 2 2 12" xfId="20218"/>
    <cellStyle name="常规 5 2 2 2 2" xfId="20219"/>
    <cellStyle name="常规 5 2 2 2 2 2" xfId="20220"/>
    <cellStyle name="常规 5 2 2 2 2 2 2" xfId="20221"/>
    <cellStyle name="常规 5 2 2 2 2 2 2 2" xfId="20222"/>
    <cellStyle name="常规 5 2 2 2 2 2 2 3" xfId="20223"/>
    <cellStyle name="常规 5 2 2 2 2 2 2 4" xfId="20224"/>
    <cellStyle name="常规 5 2 2 2 2 2 2 5" xfId="20225"/>
    <cellStyle name="常规 5 2 2 2 2 2 2 6" xfId="20226"/>
    <cellStyle name="常规 5 2 2 2 2 2 3" xfId="20227"/>
    <cellStyle name="常规 5 2 2 2 2 2 4" xfId="20228"/>
    <cellStyle name="常规 5 2 2 2 2 2 5" xfId="20229"/>
    <cellStyle name="常规 5 2 2 2 2 2 6" xfId="20230"/>
    <cellStyle name="常规 5 2 2 2 2 2 7" xfId="20231"/>
    <cellStyle name="常规 5 2 2 2 2 3" xfId="20232"/>
    <cellStyle name="常规 5 2 2 2 2 3 2" xfId="20233"/>
    <cellStyle name="常规 5 2 2 2 2 3 3" xfId="20234"/>
    <cellStyle name="常规 5 2 2 2 2 3 4" xfId="20235"/>
    <cellStyle name="常规 5 2 2 2 2 3 5" xfId="20236"/>
    <cellStyle name="常规 5 2 2 2 2 3 6" xfId="20237"/>
    <cellStyle name="常规 5 2 2 2 2 4" xfId="20238"/>
    <cellStyle name="常规 5 2 2 2 2 5" xfId="20239"/>
    <cellStyle name="常规 5 2 2 2 2 6" xfId="20240"/>
    <cellStyle name="常规 5 2 2 2 2 7" xfId="20241"/>
    <cellStyle name="常规 5 2 2 2 2 8" xfId="20242"/>
    <cellStyle name="常规 5 2 2 2 3" xfId="20243"/>
    <cellStyle name="常规 5 2 2 2 3 2" xfId="20244"/>
    <cellStyle name="常规 5 2 2 2 3 2 2" xfId="20245"/>
    <cellStyle name="常规 5 2 2 2 3 2 2 2" xfId="20246"/>
    <cellStyle name="常规 5 2 2 2 3 2 2 3" xfId="20247"/>
    <cellStyle name="常规 5 2 2 2 3 2 2 4" xfId="20248"/>
    <cellStyle name="常规 5 2 2 2 3 2 2 5" xfId="20249"/>
    <cellStyle name="常规 5 2 2 2 3 2 2 6" xfId="20250"/>
    <cellStyle name="常规 5 2 2 2 3 2 3" xfId="20251"/>
    <cellStyle name="常规 5 2 2 2 3 2 4" xfId="20252"/>
    <cellStyle name="常规 5 2 2 2 3 2 5" xfId="20253"/>
    <cellStyle name="常规 5 2 2 2 3 2 6" xfId="20254"/>
    <cellStyle name="常规 5 2 2 2 3 2 7" xfId="20255"/>
    <cellStyle name="常规 5 2 2 2 3 3" xfId="20256"/>
    <cellStyle name="常规 5 2 2 2 3 3 2" xfId="20257"/>
    <cellStyle name="常规 5 2 2 2 3 3 3" xfId="20258"/>
    <cellStyle name="常规 5 2 2 2 3 3 4" xfId="20259"/>
    <cellStyle name="常规 5 2 2 2 3 3 5" xfId="20260"/>
    <cellStyle name="常规 5 2 2 2 3 3 6" xfId="20261"/>
    <cellStyle name="常规 5 2 2 2 3 4" xfId="20262"/>
    <cellStyle name="常规 5 2 2 2 3 5" xfId="20263"/>
    <cellStyle name="常规 5 2 2 2 3 6" xfId="20264"/>
    <cellStyle name="常规 5 2 2 2 3 7" xfId="20265"/>
    <cellStyle name="常规 5 2 2 2 3 8" xfId="20266"/>
    <cellStyle name="常规 5 2 2 2 4" xfId="20267"/>
    <cellStyle name="常规 5 2 2 2 4 2" xfId="20268"/>
    <cellStyle name="常规 5 2 2 2 4 2 2" xfId="20269"/>
    <cellStyle name="常规 5 2 2 2 4 2 3" xfId="20270"/>
    <cellStyle name="常规 5 2 2 2 4 2 4" xfId="20271"/>
    <cellStyle name="常规 5 2 2 2 4 2 5" xfId="20272"/>
    <cellStyle name="常规 5 2 2 2 4 2 6" xfId="20273"/>
    <cellStyle name="常规 5 2 2 2 4 3" xfId="20274"/>
    <cellStyle name="常规 5 2 2 2 4 4" xfId="20275"/>
    <cellStyle name="常规 5 2 2 2 4 5" xfId="20276"/>
    <cellStyle name="常规 5 2 2 2 4 6" xfId="20277"/>
    <cellStyle name="常规 5 2 2 2 4 7" xfId="20278"/>
    <cellStyle name="常规 5 2 2 2 5" xfId="20279"/>
    <cellStyle name="常规 5 2 2 2 5 2" xfId="20280"/>
    <cellStyle name="常规 5 2 2 2 5 2 2" xfId="20281"/>
    <cellStyle name="常规 5 2 2 2 5 2 3" xfId="20282"/>
    <cellStyle name="常规 5 2 2 2 5 2 4" xfId="20283"/>
    <cellStyle name="常规 5 2 2 2 5 2 5" xfId="20284"/>
    <cellStyle name="常规 5 2 2 2 5 2 6" xfId="20285"/>
    <cellStyle name="常规 5 2 2 2 5 3" xfId="20286"/>
    <cellStyle name="常规 5 2 2 2 5 4" xfId="20287"/>
    <cellStyle name="常规 5 2 2 2 5 5" xfId="20288"/>
    <cellStyle name="常规 5 2 2 2 5 6" xfId="20289"/>
    <cellStyle name="常规 5 2 2 2 5 7" xfId="20290"/>
    <cellStyle name="常规 5 2 2 2 6" xfId="20291"/>
    <cellStyle name="常规 5 2 2 2 7" xfId="20292"/>
    <cellStyle name="常规 5 2 2 2 8" xfId="20293"/>
    <cellStyle name="常规 5 2 2 2 9" xfId="20294"/>
    <cellStyle name="常规 5 2 2 3" xfId="20295"/>
    <cellStyle name="常规 5 2 2 3 2" xfId="20296"/>
    <cellStyle name="常规 5 2 2 3 2 2" xfId="20297"/>
    <cellStyle name="常规 5 2 2 3 2 2 2" xfId="20298"/>
    <cellStyle name="常规 5 2 2 3 2 2 3" xfId="20299"/>
    <cellStyle name="常规 5 2 2 3 2 2 4" xfId="20300"/>
    <cellStyle name="常规 5 2 2 3 2 2 5" xfId="20301"/>
    <cellStyle name="常规 5 2 2 3 2 2 6" xfId="20302"/>
    <cellStyle name="常规 5 2 2 3 2 3" xfId="20303"/>
    <cellStyle name="常规 5 2 2 3 2 4" xfId="20304"/>
    <cellStyle name="常规 5 2 2 3 2 5" xfId="20305"/>
    <cellStyle name="常规 5 2 2 3 2 6" xfId="20306"/>
    <cellStyle name="常规 5 2 2 3 2 7" xfId="20307"/>
    <cellStyle name="常规 5 2 2 3 3" xfId="20308"/>
    <cellStyle name="常规 5 2 2 3 3 2" xfId="20309"/>
    <cellStyle name="常规 5 2 2 3 3 3" xfId="20310"/>
    <cellStyle name="常规 5 2 2 3 3 4" xfId="20311"/>
    <cellStyle name="常规 5 2 2 3 3 5" xfId="20312"/>
    <cellStyle name="常规 5 2 2 3 3 6" xfId="20313"/>
    <cellStyle name="常规 5 2 2 3 4" xfId="20314"/>
    <cellStyle name="常规 5 2 2 3 5" xfId="20315"/>
    <cellStyle name="常规 5 2 2 3 6" xfId="20316"/>
    <cellStyle name="常规 5 2 2 3 7" xfId="20317"/>
    <cellStyle name="常规 5 2 2 3 8" xfId="20318"/>
    <cellStyle name="常规 5 2 2 4" xfId="20319"/>
    <cellStyle name="常规 5 2 2 4 2" xfId="20320"/>
    <cellStyle name="常规 5 2 2 4 2 2" xfId="20321"/>
    <cellStyle name="常规 5 2 2 4 2 2 2" xfId="20322"/>
    <cellStyle name="常规 5 2 2 4 2 2 3" xfId="20323"/>
    <cellStyle name="常规 5 2 2 4 2 2 4" xfId="20324"/>
    <cellStyle name="常规 5 2 2 4 2 2 5" xfId="20325"/>
    <cellStyle name="常规 5 2 2 4 2 2 6" xfId="20326"/>
    <cellStyle name="常规 5 2 2 4 2 3" xfId="20327"/>
    <cellStyle name="常规 5 2 2 4 2 4" xfId="20328"/>
    <cellStyle name="常规 5 2 2 4 2 5" xfId="20329"/>
    <cellStyle name="常规 5 2 2 4 2 6" xfId="20330"/>
    <cellStyle name="常规 5 2 2 4 2 7" xfId="20331"/>
    <cellStyle name="常规 5 2 2 4 3" xfId="20332"/>
    <cellStyle name="常规 5 2 2 4 3 2" xfId="20333"/>
    <cellStyle name="常规 5 2 2 4 3 3" xfId="20334"/>
    <cellStyle name="常规 5 2 2 4 3 4" xfId="20335"/>
    <cellStyle name="常规 5 2 2 4 3 5" xfId="20336"/>
    <cellStyle name="常规 5 2 2 4 3 6" xfId="20337"/>
    <cellStyle name="常规 5 2 2 4 4" xfId="20338"/>
    <cellStyle name="常规 5 2 2 4 5" xfId="20339"/>
    <cellStyle name="常规 5 2 2 4 6" xfId="20340"/>
    <cellStyle name="常规 5 2 2 4 7" xfId="20341"/>
    <cellStyle name="常规 5 2 2 4 8" xfId="20342"/>
    <cellStyle name="常规 5 2 2 5" xfId="20343"/>
    <cellStyle name="常规 5 2 2 5 2" xfId="20344"/>
    <cellStyle name="常规 5 2 2 5 2 2" xfId="20345"/>
    <cellStyle name="常规 5 2 2 5 2 2 2" xfId="20346"/>
    <cellStyle name="常规 5 2 2 5 2 2 3" xfId="20347"/>
    <cellStyle name="常规 5 2 2 5 2 2 4" xfId="20348"/>
    <cellStyle name="常规 5 2 2 5 2 2 5" xfId="20349"/>
    <cellStyle name="常规 5 2 2 5 2 2 6" xfId="20350"/>
    <cellStyle name="常规 5 2 2 5 2 3" xfId="20351"/>
    <cellStyle name="常规 5 2 2 5 2 4" xfId="20352"/>
    <cellStyle name="常规 5 2 2 5 2 5" xfId="20353"/>
    <cellStyle name="常规 5 2 2 5 2 6" xfId="20354"/>
    <cellStyle name="常规 5 2 2 5 2 7" xfId="20355"/>
    <cellStyle name="常规 5 2 2 5 3" xfId="20356"/>
    <cellStyle name="常规 5 2 2 5 3 2" xfId="20357"/>
    <cellStyle name="常规 5 2 2 5 3 3" xfId="20358"/>
    <cellStyle name="常规 5 2 2 5 3 4" xfId="20359"/>
    <cellStyle name="常规 5 2 2 5 3 5" xfId="20360"/>
    <cellStyle name="常规 5 2 2 5 3 6" xfId="20361"/>
    <cellStyle name="常规 5 2 2 5 4" xfId="20362"/>
    <cellStyle name="常规 5 2 2 5 5" xfId="20363"/>
    <cellStyle name="常规 5 2 2 5 6" xfId="20364"/>
    <cellStyle name="常规 5 2 2 5 7" xfId="20365"/>
    <cellStyle name="常规 5 2 2 5 8" xfId="20366"/>
    <cellStyle name="常规 5 2 2 6" xfId="20367"/>
    <cellStyle name="常规 5 2 2 7" xfId="20368"/>
    <cellStyle name="常规 5 2 2 8" xfId="20369"/>
    <cellStyle name="常规 5 2 2 9" xfId="20370"/>
    <cellStyle name="常规 5 2 3" xfId="20371"/>
    <cellStyle name="常规 5 2 3 10" xfId="20372"/>
    <cellStyle name="常规 5 2 3 11" xfId="20373"/>
    <cellStyle name="常规 5 2 3 12" xfId="20374"/>
    <cellStyle name="常规 5 2 3 13" xfId="20375"/>
    <cellStyle name="常规 5 2 3 14" xfId="20376"/>
    <cellStyle name="常规 5 2 3 15" xfId="20377"/>
    <cellStyle name="常规 5 2 3 2" xfId="20378"/>
    <cellStyle name="常规 5 2 3 2 10" xfId="20379"/>
    <cellStyle name="常规 5 2 3 2 11" xfId="20380"/>
    <cellStyle name="常规 5 2 3 2 2" xfId="20381"/>
    <cellStyle name="常规 5 2 3 2 2 2" xfId="20382"/>
    <cellStyle name="常规 5 2 3 2 2 2 2" xfId="20383"/>
    <cellStyle name="常规 5 2 3 2 2 2 2 2" xfId="20384"/>
    <cellStyle name="常规 5 2 3 2 2 2 2 3" xfId="20385"/>
    <cellStyle name="常规 5 2 3 2 2 2 2 4" xfId="20386"/>
    <cellStyle name="常规 5 2 3 2 2 2 2 5" xfId="20387"/>
    <cellStyle name="常规 5 2 3 2 2 2 2 6" xfId="20388"/>
    <cellStyle name="常规 5 2 3 2 2 2 3" xfId="20389"/>
    <cellStyle name="常规 5 2 3 2 2 2 4" xfId="20390"/>
    <cellStyle name="常规 5 2 3 2 2 2 5" xfId="20391"/>
    <cellStyle name="常规 5 2 3 2 2 2 6" xfId="20392"/>
    <cellStyle name="常规 5 2 3 2 2 2 7" xfId="20393"/>
    <cellStyle name="常规 5 2 3 2 2 3" xfId="20394"/>
    <cellStyle name="常规 5 2 3 2 2 3 2" xfId="20395"/>
    <cellStyle name="常规 5 2 3 2 2 3 3" xfId="20396"/>
    <cellStyle name="常规 5 2 3 2 2 3 4" xfId="20397"/>
    <cellStyle name="常规 5 2 3 2 2 3 5" xfId="20398"/>
    <cellStyle name="常规 5 2 3 2 2 3 6" xfId="20399"/>
    <cellStyle name="常规 5 2 3 2 2 4" xfId="20400"/>
    <cellStyle name="常规 5 2 3 2 2 5" xfId="20401"/>
    <cellStyle name="常规 5 2 3 2 2 6" xfId="20402"/>
    <cellStyle name="常规 5 2 3 2 2 7" xfId="20403"/>
    <cellStyle name="常规 5 2 3 2 2 8" xfId="20404"/>
    <cellStyle name="常规 5 2 3 2 3" xfId="20405"/>
    <cellStyle name="常规 5 2 3 2 3 2" xfId="20406"/>
    <cellStyle name="常规 5 2 3 2 3 2 2" xfId="20407"/>
    <cellStyle name="常规 5 2 3 2 3 2 2 2" xfId="20408"/>
    <cellStyle name="常规 5 2 3 2 3 2 2 3" xfId="20409"/>
    <cellStyle name="常规 5 2 3 2 3 2 2 4" xfId="20410"/>
    <cellStyle name="常规 5 2 3 2 3 2 2 5" xfId="20411"/>
    <cellStyle name="常规 5 2 3 2 3 2 2 6" xfId="20412"/>
    <cellStyle name="常规 5 2 3 2 3 2 3" xfId="20413"/>
    <cellStyle name="常规 5 2 3 2 3 2 4" xfId="20414"/>
    <cellStyle name="常规 5 2 3 2 3 2 5" xfId="20415"/>
    <cellStyle name="常规 5 2 3 2 3 2 6" xfId="20416"/>
    <cellStyle name="常规 5 2 3 2 3 2 7" xfId="20417"/>
    <cellStyle name="常规 5 2 3 2 3 3" xfId="20418"/>
    <cellStyle name="常规 5 2 3 2 3 3 2" xfId="20419"/>
    <cellStyle name="常规 5 2 3 2 3 3 3" xfId="20420"/>
    <cellStyle name="常规 5 2 3 2 3 3 4" xfId="20421"/>
    <cellStyle name="常规 5 2 3 2 3 3 5" xfId="20422"/>
    <cellStyle name="常规 5 2 3 2 3 3 6" xfId="20423"/>
    <cellStyle name="常规 5 2 3 2 3 4" xfId="20424"/>
    <cellStyle name="常规 5 2 3 2 3 5" xfId="20425"/>
    <cellStyle name="常规 5 2 3 2 3 6" xfId="20426"/>
    <cellStyle name="常规 5 2 3 2 3 7" xfId="20427"/>
    <cellStyle name="常规 5 2 3 2 3 8" xfId="20428"/>
    <cellStyle name="常规 5 2 3 2 4" xfId="20429"/>
    <cellStyle name="常规 5 2 3 2 4 2" xfId="20430"/>
    <cellStyle name="常规 5 2 3 2 4 2 2" xfId="20431"/>
    <cellStyle name="常规 5 2 3 2 4 2 3" xfId="20432"/>
    <cellStyle name="常规 5 2 3 2 4 2 4" xfId="20433"/>
    <cellStyle name="常规 5 2 3 2 4 2 5" xfId="20434"/>
    <cellStyle name="常规 5 2 3 2 4 2 6" xfId="20435"/>
    <cellStyle name="常规 5 2 3 2 4 3" xfId="20436"/>
    <cellStyle name="常规 5 2 3 2 4 4" xfId="20437"/>
    <cellStyle name="常规 5 2 3 2 4 5" xfId="20438"/>
    <cellStyle name="常规 5 2 3 2 4 6" xfId="20439"/>
    <cellStyle name="常规 5 2 3 2 4 7" xfId="20440"/>
    <cellStyle name="常规 5 2 3 2 5" xfId="20441"/>
    <cellStyle name="常规 5 2 3 2 5 2" xfId="20442"/>
    <cellStyle name="常规 5 2 3 2 5 2 2" xfId="20443"/>
    <cellStyle name="常规 5 2 3 2 5 2 3" xfId="20444"/>
    <cellStyle name="常规 5 2 3 2 5 2 4" xfId="20445"/>
    <cellStyle name="常规 5 2 3 2 5 2 5" xfId="20446"/>
    <cellStyle name="常规 5 2 3 2 5 2 6" xfId="20447"/>
    <cellStyle name="常规 5 2 3 2 5 3" xfId="20448"/>
    <cellStyle name="常规 5 2 3 2 5 4" xfId="20449"/>
    <cellStyle name="常规 5 2 3 2 5 5" xfId="20450"/>
    <cellStyle name="常规 5 2 3 2 5 6" xfId="20451"/>
    <cellStyle name="常规 5 2 3 2 5 7" xfId="20452"/>
    <cellStyle name="常规 5 2 3 2 6" xfId="20453"/>
    <cellStyle name="常规 5 2 3 2 6 2" xfId="20454"/>
    <cellStyle name="常规 5 2 3 2 6 3" xfId="20455"/>
    <cellStyle name="常规 5 2 3 2 6 4" xfId="20456"/>
    <cellStyle name="常规 5 2 3 2 6 5" xfId="20457"/>
    <cellStyle name="常规 5 2 3 2 6 6" xfId="20458"/>
    <cellStyle name="常规 5 2 3 2 7" xfId="20459"/>
    <cellStyle name="常规 5 2 3 2 8" xfId="20460"/>
    <cellStyle name="常规 5 2 3 2 9" xfId="20461"/>
    <cellStyle name="常规 5 2 3 3" xfId="20462"/>
    <cellStyle name="常规 5 2 3 3 2" xfId="20463"/>
    <cellStyle name="常规 5 2 3 3 2 2" xfId="20464"/>
    <cellStyle name="常规 5 2 3 3 2 2 2" xfId="20465"/>
    <cellStyle name="常规 5 2 3 3 2 2 3" xfId="20466"/>
    <cellStyle name="常规 5 2 3 3 2 2 4" xfId="20467"/>
    <cellStyle name="常规 5 2 3 3 2 2 5" xfId="20468"/>
    <cellStyle name="常规 5 2 3 3 2 2 6" xfId="20469"/>
    <cellStyle name="常规 5 2 3 3 2 3" xfId="20470"/>
    <cellStyle name="常规 5 2 3 3 2 4" xfId="20471"/>
    <cellStyle name="常规 5 2 3 3 2 5" xfId="20472"/>
    <cellStyle name="常规 5 2 3 3 2 6" xfId="20473"/>
    <cellStyle name="常规 5 2 3 3 2 7" xfId="20474"/>
    <cellStyle name="常规 5 2 3 3 3" xfId="20475"/>
    <cellStyle name="常规 5 2 3 3 3 2" xfId="20476"/>
    <cellStyle name="常规 5 2 3 3 3 3" xfId="20477"/>
    <cellStyle name="常规 5 2 3 3 3 4" xfId="20478"/>
    <cellStyle name="常规 5 2 3 3 3 5" xfId="20479"/>
    <cellStyle name="常规 5 2 3 3 3 6" xfId="20480"/>
    <cellStyle name="常规 5 2 3 3 4" xfId="20481"/>
    <cellStyle name="常规 5 2 3 3 5" xfId="20482"/>
    <cellStyle name="常规 5 2 3 3 6" xfId="20483"/>
    <cellStyle name="常规 5 2 3 3 7" xfId="20484"/>
    <cellStyle name="常规 5 2 3 3 8" xfId="20485"/>
    <cellStyle name="常规 5 2 3 4" xfId="20486"/>
    <cellStyle name="常规 5 2 3 4 2" xfId="20487"/>
    <cellStyle name="常规 5 2 3 4 2 2" xfId="20488"/>
    <cellStyle name="常规 5 2 3 4 2 2 2" xfId="20489"/>
    <cellStyle name="常规 5 2 3 4 2 2 3" xfId="20490"/>
    <cellStyle name="常规 5 2 3 4 2 2 4" xfId="20491"/>
    <cellStyle name="常规 5 2 3 4 2 2 5" xfId="20492"/>
    <cellStyle name="常规 5 2 3 4 2 2 6" xfId="20493"/>
    <cellStyle name="常规 5 2 3 4 2 3" xfId="20494"/>
    <cellStyle name="常规 5 2 3 4 2 4" xfId="20495"/>
    <cellStyle name="常规 5 2 3 4 2 5" xfId="20496"/>
    <cellStyle name="常规 5 2 3 4 2 6" xfId="20497"/>
    <cellStyle name="常规 5 2 3 4 2 7" xfId="20498"/>
    <cellStyle name="常规 5 2 3 4 3" xfId="20499"/>
    <cellStyle name="常规 5 2 3 4 3 2" xfId="20500"/>
    <cellStyle name="常规 5 2 3 4 3 3" xfId="20501"/>
    <cellStyle name="常规 5 2 3 4 3 4" xfId="20502"/>
    <cellStyle name="常规 5 2 3 4 3 5" xfId="20503"/>
    <cellStyle name="常规 5 2 3 4 3 6" xfId="20504"/>
    <cellStyle name="常规 5 2 3 4 4" xfId="20505"/>
    <cellStyle name="常规 5 2 3 4 5" xfId="20506"/>
    <cellStyle name="常规 5 2 3 4 6" xfId="20507"/>
    <cellStyle name="常规 5 2 3 4 7" xfId="20508"/>
    <cellStyle name="常规 5 2 3 4 8" xfId="20509"/>
    <cellStyle name="常规 5 2 3 5" xfId="20510"/>
    <cellStyle name="常规 5 2 3 5 2" xfId="20511"/>
    <cellStyle name="常规 5 2 3 5 2 2" xfId="20512"/>
    <cellStyle name="常规 5 2 3 5 2 3" xfId="20513"/>
    <cellStyle name="常规 5 2 3 5 2 4" xfId="20514"/>
    <cellStyle name="常规 5 2 3 5 2 5" xfId="20515"/>
    <cellStyle name="常规 5 2 3 5 2 6" xfId="20516"/>
    <cellStyle name="常规 5 2 3 5 3" xfId="20517"/>
    <cellStyle name="常规 5 2 3 5 4" xfId="20518"/>
    <cellStyle name="常规 5 2 3 5 5" xfId="20519"/>
    <cellStyle name="常规 5 2 3 5 6" xfId="20520"/>
    <cellStyle name="常规 5 2 3 5 7" xfId="20521"/>
    <cellStyle name="常规 5 2 3 6" xfId="20522"/>
    <cellStyle name="常规 5 2 3 6 2" xfId="20523"/>
    <cellStyle name="常规 5 2 3 6 2 2" xfId="20524"/>
    <cellStyle name="常规 5 2 3 6 2 3" xfId="20525"/>
    <cellStyle name="常规 5 2 3 6 2 4" xfId="20526"/>
    <cellStyle name="常规 5 2 3 6 2 5" xfId="20527"/>
    <cellStyle name="常规 5 2 3 6 2 6" xfId="20528"/>
    <cellStyle name="常规 5 2 3 6 3" xfId="20529"/>
    <cellStyle name="常规 5 2 3 6 4" xfId="20530"/>
    <cellStyle name="常规 5 2 3 6 5" xfId="20531"/>
    <cellStyle name="常规 5 2 3 6 6" xfId="20532"/>
    <cellStyle name="常规 5 2 3 6 7" xfId="20533"/>
    <cellStyle name="常规 5 2 3 7" xfId="20534"/>
    <cellStyle name="常规 5 2 3 7 2" xfId="20535"/>
    <cellStyle name="常规 5 2 3 7 2 2" xfId="20536"/>
    <cellStyle name="常规 5 2 3 7 2 3" xfId="20537"/>
    <cellStyle name="常规 5 2 3 7 2 4" xfId="20538"/>
    <cellStyle name="常规 5 2 3 7 2 5" xfId="20539"/>
    <cellStyle name="常规 5 2 3 7 2 6" xfId="20540"/>
    <cellStyle name="常规 5 2 3 7 3" xfId="20541"/>
    <cellStyle name="常规 5 2 3 7 4" xfId="20542"/>
    <cellStyle name="常规 5 2 3 7 5" xfId="20543"/>
    <cellStyle name="常规 5 2 3 7 6" xfId="20544"/>
    <cellStyle name="常规 5 2 3 7 7" xfId="20545"/>
    <cellStyle name="常规 5 2 3 8" xfId="20546"/>
    <cellStyle name="常规 5 2 3 8 2" xfId="20547"/>
    <cellStyle name="常规 5 2 3 8 3" xfId="20548"/>
    <cellStyle name="常规 5 2 3 8 4" xfId="20549"/>
    <cellStyle name="常规 5 2 3 8 5" xfId="20550"/>
    <cellStyle name="常规 5 2 3 8 6" xfId="20551"/>
    <cellStyle name="常规 5 2 3 9" xfId="20552"/>
    <cellStyle name="常规 5 2 3 9 2" xfId="20553"/>
    <cellStyle name="常规 5 2 3 9 3" xfId="20554"/>
    <cellStyle name="常规 5 2 3 9 4" xfId="20555"/>
    <cellStyle name="常规 5 2 3 9 5" xfId="20556"/>
    <cellStyle name="常规 5 2 3 9 6" xfId="20557"/>
    <cellStyle name="常规 5 2 4" xfId="20558"/>
    <cellStyle name="常规 5 2 4 10" xfId="20559"/>
    <cellStyle name="常规 5 2 4 11" xfId="20560"/>
    <cellStyle name="常规 5 2 4 2" xfId="20561"/>
    <cellStyle name="常规 5 2 4 2 2" xfId="20562"/>
    <cellStyle name="常规 5 2 4 2 2 2" xfId="20563"/>
    <cellStyle name="常规 5 2 4 2 2 2 2" xfId="20564"/>
    <cellStyle name="常规 5 2 4 2 2 2 3" xfId="20565"/>
    <cellStyle name="常规 5 2 4 2 2 2 4" xfId="20566"/>
    <cellStyle name="常规 5 2 4 2 2 2 5" xfId="20567"/>
    <cellStyle name="常规 5 2 4 2 2 2 6" xfId="20568"/>
    <cellStyle name="常规 5 2 4 2 2 3" xfId="20569"/>
    <cellStyle name="常规 5 2 4 2 2 4" xfId="20570"/>
    <cellStyle name="常规 5 2 4 2 2 5" xfId="20571"/>
    <cellStyle name="常规 5 2 4 2 2 6" xfId="20572"/>
    <cellStyle name="常规 5 2 4 2 2 7" xfId="20573"/>
    <cellStyle name="常规 5 2 4 2 3" xfId="20574"/>
    <cellStyle name="常规 5 2 4 2 3 2" xfId="20575"/>
    <cellStyle name="常规 5 2 4 2 3 3" xfId="20576"/>
    <cellStyle name="常规 5 2 4 2 3 4" xfId="20577"/>
    <cellStyle name="常规 5 2 4 2 3 5" xfId="20578"/>
    <cellStyle name="常规 5 2 4 2 3 6" xfId="20579"/>
    <cellStyle name="常规 5 2 4 2 4" xfId="20580"/>
    <cellStyle name="常规 5 2 4 2 5" xfId="20581"/>
    <cellStyle name="常规 5 2 4 2 6" xfId="20582"/>
    <cellStyle name="常规 5 2 4 2 7" xfId="20583"/>
    <cellStyle name="常规 5 2 4 2 8" xfId="20584"/>
    <cellStyle name="常规 5 2 4 2 9" xfId="20585"/>
    <cellStyle name="常规 5 2 4 3" xfId="20586"/>
    <cellStyle name="常规 5 2 4 3 2" xfId="20587"/>
    <cellStyle name="常规 5 2 4 3 2 2" xfId="20588"/>
    <cellStyle name="常规 5 2 4 3 2 2 2" xfId="20589"/>
    <cellStyle name="常规 5 2 4 3 2 2 3" xfId="20590"/>
    <cellStyle name="常规 5 2 4 3 2 2 4" xfId="20591"/>
    <cellStyle name="常规 5 2 4 3 2 2 5" xfId="20592"/>
    <cellStyle name="常规 5 2 4 3 2 2 6" xfId="20593"/>
    <cellStyle name="常规 5 2 4 3 2 3" xfId="20594"/>
    <cellStyle name="常规 5 2 4 3 2 4" xfId="20595"/>
    <cellStyle name="常规 5 2 4 3 2 5" xfId="20596"/>
    <cellStyle name="常规 5 2 4 3 2 6" xfId="20597"/>
    <cellStyle name="常规 5 2 4 3 2 7" xfId="20598"/>
    <cellStyle name="常规 5 2 4 3 3" xfId="20599"/>
    <cellStyle name="常规 5 2 4 3 3 2" xfId="20600"/>
    <cellStyle name="常规 5 2 4 3 3 3" xfId="20601"/>
    <cellStyle name="常规 5 2 4 3 3 4" xfId="20602"/>
    <cellStyle name="常规 5 2 4 3 3 5" xfId="20603"/>
    <cellStyle name="常规 5 2 4 3 3 6" xfId="20604"/>
    <cellStyle name="常规 5 2 4 3 4" xfId="20605"/>
    <cellStyle name="常规 5 2 4 3 5" xfId="20606"/>
    <cellStyle name="常规 5 2 4 3 6" xfId="20607"/>
    <cellStyle name="常规 5 2 4 3 7" xfId="20608"/>
    <cellStyle name="常规 5 2 4 3 8" xfId="20609"/>
    <cellStyle name="常规 5 2 4 4" xfId="20610"/>
    <cellStyle name="常规 5 2 4 4 2" xfId="20611"/>
    <cellStyle name="常规 5 2 4 4 2 2" xfId="20612"/>
    <cellStyle name="常规 5 2 4 4 2 3" xfId="20613"/>
    <cellStyle name="常规 5 2 4 4 2 4" xfId="20614"/>
    <cellStyle name="常规 5 2 4 4 2 5" xfId="20615"/>
    <cellStyle name="常规 5 2 4 4 2 6" xfId="20616"/>
    <cellStyle name="常规 5 2 4 4 3" xfId="20617"/>
    <cellStyle name="常规 5 2 4 4 4" xfId="20618"/>
    <cellStyle name="常规 5 2 4 4 5" xfId="20619"/>
    <cellStyle name="常规 5 2 4 4 6" xfId="20620"/>
    <cellStyle name="常规 5 2 4 4 7" xfId="20621"/>
    <cellStyle name="常规 5 2 4 5" xfId="20622"/>
    <cellStyle name="常规 5 2 4 5 2" xfId="20623"/>
    <cellStyle name="常规 5 2 4 5 3" xfId="20624"/>
    <cellStyle name="常规 5 2 4 5 4" xfId="20625"/>
    <cellStyle name="常规 5 2 4 5 5" xfId="20626"/>
    <cellStyle name="常规 5 2 4 5 6" xfId="20627"/>
    <cellStyle name="常规 5 2 4 6" xfId="20628"/>
    <cellStyle name="常规 5 2 4 7" xfId="20629"/>
    <cellStyle name="常规 5 2 4 8" xfId="20630"/>
    <cellStyle name="常规 5 2 4 9" xfId="20631"/>
    <cellStyle name="常规 5 2 5" xfId="20632"/>
    <cellStyle name="常规 5 2 5 10" xfId="20633"/>
    <cellStyle name="常规 5 2 5 11" xfId="20634"/>
    <cellStyle name="常规 5 2 5 2" xfId="20635"/>
    <cellStyle name="常规 5 2 5 2 2" xfId="20636"/>
    <cellStyle name="常规 5 2 5 3" xfId="20637"/>
    <cellStyle name="常规 5 2 5 3 2" xfId="20638"/>
    <cellStyle name="常规 5 2 5 3 2 2" xfId="20639"/>
    <cellStyle name="常规 5 2 5 3 2 2 2" xfId="20640"/>
    <cellStyle name="常规 5 2 5 3 2 2 3" xfId="20641"/>
    <cellStyle name="常规 5 2 5 3 2 2 4" xfId="20642"/>
    <cellStyle name="常规 5 2 5 3 2 2 5" xfId="20643"/>
    <cellStyle name="常规 5 2 5 3 2 2 6" xfId="20644"/>
    <cellStyle name="常规 5 2 5 3 2 3" xfId="20645"/>
    <cellStyle name="常规 5 2 5 3 2 4" xfId="20646"/>
    <cellStyle name="常规 5 2 5 3 2 5" xfId="20647"/>
    <cellStyle name="常规 5 2 5 3 2 6" xfId="20648"/>
    <cellStyle name="常规 5 2 5 3 2 7" xfId="20649"/>
    <cellStyle name="常规 5 2 5 3 3" xfId="20650"/>
    <cellStyle name="常规 5 2 5 3 3 2" xfId="20651"/>
    <cellStyle name="常规 5 2 5 3 3 3" xfId="20652"/>
    <cellStyle name="常规 5 2 5 3 3 4" xfId="20653"/>
    <cellStyle name="常规 5 2 5 3 3 5" xfId="20654"/>
    <cellStyle name="常规 5 2 5 3 3 6" xfId="20655"/>
    <cellStyle name="常规 5 2 5 3 4" xfId="20656"/>
    <cellStyle name="常规 5 2 5 3 5" xfId="20657"/>
    <cellStyle name="常规 5 2 5 3 6" xfId="20658"/>
    <cellStyle name="常规 5 2 5 3 7" xfId="20659"/>
    <cellStyle name="常规 5 2 5 3 8" xfId="20660"/>
    <cellStyle name="常规 5 2 5 4" xfId="20661"/>
    <cellStyle name="常规 5 2 5 4 2" xfId="20662"/>
    <cellStyle name="常规 5 2 5 4 2 2" xfId="20663"/>
    <cellStyle name="常规 5 2 5 4 2 3" xfId="20664"/>
    <cellStyle name="常规 5 2 5 4 2 4" xfId="20665"/>
    <cellStyle name="常规 5 2 5 4 2 5" xfId="20666"/>
    <cellStyle name="常规 5 2 5 4 2 6" xfId="20667"/>
    <cellStyle name="常规 5 2 5 4 3" xfId="20668"/>
    <cellStyle name="常规 5 2 5 4 4" xfId="20669"/>
    <cellStyle name="常规 5 2 5 4 5" xfId="20670"/>
    <cellStyle name="常规 5 2 5 4 6" xfId="20671"/>
    <cellStyle name="常规 5 2 5 4 7" xfId="20672"/>
    <cellStyle name="常规 5 2 5 5" xfId="20673"/>
    <cellStyle name="常规 5 2 5 5 2" xfId="20674"/>
    <cellStyle name="常规 5 2 5 5 3" xfId="20675"/>
    <cellStyle name="常规 5 2 5 5 4" xfId="20676"/>
    <cellStyle name="常规 5 2 5 5 5" xfId="20677"/>
    <cellStyle name="常规 5 2 5 5 6" xfId="20678"/>
    <cellStyle name="常规 5 2 5 6" xfId="20679"/>
    <cellStyle name="常规 5 2 5 7" xfId="20680"/>
    <cellStyle name="常规 5 2 5 8" xfId="20681"/>
    <cellStyle name="常规 5 2 5 9" xfId="20682"/>
    <cellStyle name="常规 5 2 6" xfId="20683"/>
    <cellStyle name="常规 5 2 6 2" xfId="20684"/>
    <cellStyle name="常规 5 2 6 2 2" xfId="20685"/>
    <cellStyle name="常规 5 2 6 2 2 2" xfId="20686"/>
    <cellStyle name="常规 5 2 6 2 2 3" xfId="20687"/>
    <cellStyle name="常规 5 2 6 2 2 4" xfId="20688"/>
    <cellStyle name="常规 5 2 6 2 2 5" xfId="20689"/>
    <cellStyle name="常规 5 2 6 2 2 6" xfId="20690"/>
    <cellStyle name="常规 5 2 6 2 3" xfId="20691"/>
    <cellStyle name="常规 5 2 6 2 4" xfId="20692"/>
    <cellStyle name="常规 5 2 6 2 5" xfId="20693"/>
    <cellStyle name="常规 5 2 6 2 6" xfId="20694"/>
    <cellStyle name="常规 5 2 6 2 7" xfId="20695"/>
    <cellStyle name="常规 5 2 6 2 8" xfId="20696"/>
    <cellStyle name="常规 5 2 6 3" xfId="20697"/>
    <cellStyle name="常规 5 2 6 3 2" xfId="20698"/>
    <cellStyle name="常规 5 2 6 3 3" xfId="20699"/>
    <cellStyle name="常规 5 2 6 3 4" xfId="20700"/>
    <cellStyle name="常规 5 2 6 3 5" xfId="20701"/>
    <cellStyle name="常规 5 2 6 3 6" xfId="20702"/>
    <cellStyle name="常规 5 2 6 4" xfId="20703"/>
    <cellStyle name="常规 5 2 6 5" xfId="20704"/>
    <cellStyle name="常规 5 2 6 6" xfId="20705"/>
    <cellStyle name="常规 5 2 6 7" xfId="20706"/>
    <cellStyle name="常规 5 2 6 8" xfId="20707"/>
    <cellStyle name="常规 5 2 6 9" xfId="20708"/>
    <cellStyle name="常规 5 2 7" xfId="20709"/>
    <cellStyle name="常规 5 2 7 2" xfId="20710"/>
    <cellStyle name="常规 5 2 7 3" xfId="20711"/>
    <cellStyle name="常规 5 2 8" xfId="20712"/>
    <cellStyle name="常规 5 2 8 2" xfId="20713"/>
    <cellStyle name="常规 5 2 8 3" xfId="20714"/>
    <cellStyle name="常规 5 2 9" xfId="20715"/>
    <cellStyle name="常规 5 2 9 2" xfId="20716"/>
    <cellStyle name="常规 5 3" xfId="20717"/>
    <cellStyle name="常规 5 3 10" xfId="20718"/>
    <cellStyle name="常规 5 3 2" xfId="20719"/>
    <cellStyle name="常规 5 3 2 2" xfId="20720"/>
    <cellStyle name="常规 5 3 2 2 2" xfId="20721"/>
    <cellStyle name="常规 5 3 2 2 3" xfId="20722"/>
    <cellStyle name="常规 5 3 2 2 4" xfId="20723"/>
    <cellStyle name="常规 5 3 2 2 5" xfId="20724"/>
    <cellStyle name="常规 5 3 2 2 6" xfId="20725"/>
    <cellStyle name="常规 5 3 2 3" xfId="20726"/>
    <cellStyle name="常规 5 3 2 4" xfId="20727"/>
    <cellStyle name="常规 5 3 2 5" xfId="20728"/>
    <cellStyle name="常规 5 3 2 6" xfId="20729"/>
    <cellStyle name="常规 5 3 2 7" xfId="20730"/>
    <cellStyle name="常规 5 3 2 8" xfId="20731"/>
    <cellStyle name="常规 5 3 2 9" xfId="20732"/>
    <cellStyle name="常规 5 3 3" xfId="20733"/>
    <cellStyle name="常规 5 3 3 2" xfId="20734"/>
    <cellStyle name="常规 5 3 3 3" xfId="20735"/>
    <cellStyle name="常规 5 3 3 4" xfId="20736"/>
    <cellStyle name="常规 5 3 3 5" xfId="20737"/>
    <cellStyle name="常规 5 3 3 6" xfId="20738"/>
    <cellStyle name="常规 5 3 3 7" xfId="20739"/>
    <cellStyle name="常规 5 3 4" xfId="20740"/>
    <cellStyle name="常规 5 3 5" xfId="20741"/>
    <cellStyle name="常规 5 3 6" xfId="20742"/>
    <cellStyle name="常规 5 3 7" xfId="20743"/>
    <cellStyle name="常规 5 3 8" xfId="20744"/>
    <cellStyle name="常规 5 3 9" xfId="20745"/>
    <cellStyle name="常规 5 4" xfId="20746"/>
    <cellStyle name="常规 5 4 10" xfId="20747"/>
    <cellStyle name="常规 5 4 11" xfId="20748"/>
    <cellStyle name="常规 5 4 2" xfId="20749"/>
    <cellStyle name="常规 5 4 2 2" xfId="20750"/>
    <cellStyle name="常规 5 4 2 2 2" xfId="20751"/>
    <cellStyle name="常规 5 4 2 3" xfId="20752"/>
    <cellStyle name="常规 5 4 2 4" xfId="20753"/>
    <cellStyle name="常规 5 4 2 5" xfId="20754"/>
    <cellStyle name="常规 5 4 2 6" xfId="20755"/>
    <cellStyle name="常规 5 4 2 7" xfId="20756"/>
    <cellStyle name="常规 5 4 2 8" xfId="20757"/>
    <cellStyle name="常规 5 4 3" xfId="20758"/>
    <cellStyle name="常规 5 4 3 2" xfId="20759"/>
    <cellStyle name="常规 5 4 4" xfId="20760"/>
    <cellStyle name="常规 5 4 4 2" xfId="20761"/>
    <cellStyle name="常规 5 4 5" xfId="20762"/>
    <cellStyle name="常规 5 4 6" xfId="20763"/>
    <cellStyle name="常规 5 4 7" xfId="20764"/>
    <cellStyle name="常规 5 4 8" xfId="20765"/>
    <cellStyle name="常规 5 4 9" xfId="20766"/>
    <cellStyle name="常规 5 5" xfId="20767"/>
    <cellStyle name="常规 5 5 10" xfId="20768"/>
    <cellStyle name="常规 5 5 11" xfId="20769"/>
    <cellStyle name="常规 5 5 2" xfId="20770"/>
    <cellStyle name="常规 5 5 2 2" xfId="20771"/>
    <cellStyle name="常规 5 5 2 3" xfId="20772"/>
    <cellStyle name="常规 5 5 2 3 2" xfId="20773"/>
    <cellStyle name="常规 5 5 2 3 3" xfId="20774"/>
    <cellStyle name="常规 5 5 2 3 4" xfId="20775"/>
    <cellStyle name="常规 5 5 2 3 5" xfId="20776"/>
    <cellStyle name="常规 5 5 2 3 6" xfId="20777"/>
    <cellStyle name="常规 5 5 2 4" xfId="20778"/>
    <cellStyle name="常规 5 5 2 5" xfId="20779"/>
    <cellStyle name="常规 5 5 2 6" xfId="20780"/>
    <cellStyle name="常规 5 5 2 7" xfId="20781"/>
    <cellStyle name="常规 5 5 2 8" xfId="20782"/>
    <cellStyle name="常规 5 5 2 9" xfId="20783"/>
    <cellStyle name="常规 5 5 3" xfId="20784"/>
    <cellStyle name="常规 5 5 3 2" xfId="20785"/>
    <cellStyle name="常规 5 5 3 2 2" xfId="20786"/>
    <cellStyle name="常规 5 5 3 2 3" xfId="20787"/>
    <cellStyle name="常规 5 5 3 2 4" xfId="20788"/>
    <cellStyle name="常规 5 5 3 2 5" xfId="20789"/>
    <cellStyle name="常规 5 5 3 2 6" xfId="20790"/>
    <cellStyle name="常规 5 5 3 3" xfId="20791"/>
    <cellStyle name="常规 5 5 3 4" xfId="20792"/>
    <cellStyle name="常规 5 5 3 5" xfId="20793"/>
    <cellStyle name="常规 5 5 3 6" xfId="20794"/>
    <cellStyle name="常规 5 5 3 7" xfId="20795"/>
    <cellStyle name="常规 5 5 4" xfId="20796"/>
    <cellStyle name="常规 5 5 4 2" xfId="20797"/>
    <cellStyle name="常规 5 5 4 3" xfId="20798"/>
    <cellStyle name="常规 5 5 4 4" xfId="20799"/>
    <cellStyle name="常规 5 5 4 5" xfId="20800"/>
    <cellStyle name="常规 5 5 4 6" xfId="20801"/>
    <cellStyle name="常规 5 5 5" xfId="20802"/>
    <cellStyle name="常规 5 5 5 2" xfId="20803"/>
    <cellStyle name="常规 5 5 5 3" xfId="20804"/>
    <cellStyle name="常规 5 5 5 4" xfId="20805"/>
    <cellStyle name="常规 5 5 5 5" xfId="20806"/>
    <cellStyle name="常规 5 5 5 6" xfId="20807"/>
    <cellStyle name="常规 5 5 6" xfId="20808"/>
    <cellStyle name="常规 5 5 7" xfId="20809"/>
    <cellStyle name="常规 5 5 8" xfId="20810"/>
    <cellStyle name="常规 5 5 9" xfId="20811"/>
    <cellStyle name="常规 5 6" xfId="20812"/>
    <cellStyle name="常规 5 6 2" xfId="20813"/>
    <cellStyle name="常规 5 6 2 2" xfId="20814"/>
    <cellStyle name="常规 5 6 3" xfId="20815"/>
    <cellStyle name="常规 5 6 3 2" xfId="20816"/>
    <cellStyle name="常规 5 6 4" xfId="20817"/>
    <cellStyle name="常规 5 6 5" xfId="20818"/>
    <cellStyle name="常规 5 6 6" xfId="20819"/>
    <cellStyle name="常规 5 7" xfId="20820"/>
    <cellStyle name="常规 5 7 2" xfId="20821"/>
    <cellStyle name="常规 5 7 3" xfId="20822"/>
    <cellStyle name="常规 5 7 3 2" xfId="20823"/>
    <cellStyle name="常规 5 7 4" xfId="20824"/>
    <cellStyle name="常规 5 8" xfId="20825"/>
    <cellStyle name="常规 5 8 2" xfId="20826"/>
    <cellStyle name="常规 5 8 3" xfId="20827"/>
    <cellStyle name="常规 5 8 4" xfId="20828"/>
    <cellStyle name="常规 5 9" xfId="20829"/>
    <cellStyle name="常规 5 9 2" xfId="20830"/>
    <cellStyle name="常规 5 9 2 2" xfId="20831"/>
    <cellStyle name="常规 5 9 3" xfId="20832"/>
    <cellStyle name="常规 50" xfId="20833"/>
    <cellStyle name="常规 50 2" xfId="20834"/>
    <cellStyle name="常规 50 2 2" xfId="20835"/>
    <cellStyle name="常规 50 3" xfId="20836"/>
    <cellStyle name="常规 50 4" xfId="20837"/>
    <cellStyle name="常规 51" xfId="20838"/>
    <cellStyle name="常规 51 2" xfId="20839"/>
    <cellStyle name="常规 51 2 2" xfId="20840"/>
    <cellStyle name="常规 51 3" xfId="20841"/>
    <cellStyle name="常规 51 4" xfId="20842"/>
    <cellStyle name="常规 52" xfId="20843"/>
    <cellStyle name="常规 52 2" xfId="20844"/>
    <cellStyle name="常规 52 2 2" xfId="20845"/>
    <cellStyle name="常规 52 3" xfId="20846"/>
    <cellStyle name="常规 52 4" xfId="20847"/>
    <cellStyle name="常规 53" xfId="20848"/>
    <cellStyle name="常规 53 2" xfId="20849"/>
    <cellStyle name="常规 53 2 2" xfId="20850"/>
    <cellStyle name="常规 53 3" xfId="20851"/>
    <cellStyle name="常规 53 4" xfId="20852"/>
    <cellStyle name="常规 54" xfId="20853"/>
    <cellStyle name="常规 54 2" xfId="20854"/>
    <cellStyle name="常规 54 2 2" xfId="20855"/>
    <cellStyle name="常规 54 3" xfId="20856"/>
    <cellStyle name="常规 54 4" xfId="20857"/>
    <cellStyle name="常规 55" xfId="20858"/>
    <cellStyle name="常规 55 2" xfId="20859"/>
    <cellStyle name="常规 55 2 2" xfId="20860"/>
    <cellStyle name="常规 55 3" xfId="20861"/>
    <cellStyle name="常规 55 4" xfId="20862"/>
    <cellStyle name="常规 56" xfId="20863"/>
    <cellStyle name="常规 56 2" xfId="20864"/>
    <cellStyle name="常规 56 2 2" xfId="20865"/>
    <cellStyle name="常规 56 3" xfId="20866"/>
    <cellStyle name="常规 56 4" xfId="20867"/>
    <cellStyle name="常规 57" xfId="20868"/>
    <cellStyle name="常规 57 2" xfId="20869"/>
    <cellStyle name="常规 58" xfId="20870"/>
    <cellStyle name="常规 58 2" xfId="20871"/>
    <cellStyle name="常规 59" xfId="20872"/>
    <cellStyle name="常规 6" xfId="20873"/>
    <cellStyle name="常规 6 10" xfId="20874"/>
    <cellStyle name="常规 6 10 10" xfId="20875"/>
    <cellStyle name="常规 6 10 11" xfId="20876"/>
    <cellStyle name="常规 6 10 12" xfId="20877"/>
    <cellStyle name="常规 6 10 13" xfId="20878"/>
    <cellStyle name="常规 6 10 2" xfId="20879"/>
    <cellStyle name="常规 6 10 2 2" xfId="20880"/>
    <cellStyle name="常规 6 10 2 2 2" xfId="20881"/>
    <cellStyle name="常规 6 10 2 2 3" xfId="20882"/>
    <cellStyle name="常规 6 10 2 2 4" xfId="20883"/>
    <cellStyle name="常规 6 10 2 2 5" xfId="20884"/>
    <cellStyle name="常规 6 10 2 2 6" xfId="20885"/>
    <cellStyle name="常规 6 10 2 3" xfId="20886"/>
    <cellStyle name="常规 6 10 2 4" xfId="20887"/>
    <cellStyle name="常规 6 10 2 5" xfId="20888"/>
    <cellStyle name="常规 6 10 2 6" xfId="20889"/>
    <cellStyle name="常规 6 10 2 7" xfId="20890"/>
    <cellStyle name="常规 6 10 2 8" xfId="20891"/>
    <cellStyle name="常规 6 10 2 9" xfId="20892"/>
    <cellStyle name="常规 6 10 3" xfId="20893"/>
    <cellStyle name="常规 6 10 3 2" xfId="20894"/>
    <cellStyle name="常规 6 10 3 2 2" xfId="20895"/>
    <cellStyle name="常规 6 10 3 2 3" xfId="20896"/>
    <cellStyle name="常规 6 10 3 2 4" xfId="20897"/>
    <cellStyle name="常规 6 10 3 2 5" xfId="20898"/>
    <cellStyle name="常规 6 10 3 2 6" xfId="20899"/>
    <cellStyle name="常规 6 10 3 3" xfId="20900"/>
    <cellStyle name="常规 6 10 3 4" xfId="20901"/>
    <cellStyle name="常规 6 10 3 5" xfId="20902"/>
    <cellStyle name="常规 6 10 3 6" xfId="20903"/>
    <cellStyle name="常规 6 10 3 7" xfId="20904"/>
    <cellStyle name="常规 6 10 3 8" xfId="20905"/>
    <cellStyle name="常规 6 10 4" xfId="20906"/>
    <cellStyle name="常规 6 10 4 2" xfId="20907"/>
    <cellStyle name="常规 6 10 4 2 2" xfId="20908"/>
    <cellStyle name="常规 6 10 4 2 3" xfId="20909"/>
    <cellStyle name="常规 6 10 4 2 4" xfId="20910"/>
    <cellStyle name="常规 6 10 4 2 5" xfId="20911"/>
    <cellStyle name="常规 6 10 4 2 6" xfId="20912"/>
    <cellStyle name="常规 6 10 4 3" xfId="20913"/>
    <cellStyle name="常规 6 10 4 4" xfId="20914"/>
    <cellStyle name="常规 6 10 4 5" xfId="20915"/>
    <cellStyle name="常规 6 10 4 6" xfId="20916"/>
    <cellStyle name="常规 6 10 4 7" xfId="20917"/>
    <cellStyle name="常规 6 10 4 8" xfId="20918"/>
    <cellStyle name="常规 6 10 5" xfId="20919"/>
    <cellStyle name="常规 6 10 5 2" xfId="20920"/>
    <cellStyle name="常规 6 10 5 2 2" xfId="20921"/>
    <cellStyle name="常规 6 10 5 2 3" xfId="20922"/>
    <cellStyle name="常规 6 10 5 2 4" xfId="20923"/>
    <cellStyle name="常规 6 10 5 2 5" xfId="20924"/>
    <cellStyle name="常规 6 10 5 2 6" xfId="20925"/>
    <cellStyle name="常规 6 10 5 3" xfId="20926"/>
    <cellStyle name="常规 6 10 5 4" xfId="20927"/>
    <cellStyle name="常规 6 10 5 5" xfId="20928"/>
    <cellStyle name="常规 6 10 5 6" xfId="20929"/>
    <cellStyle name="常规 6 10 5 7" xfId="20930"/>
    <cellStyle name="常规 6 10 6" xfId="20931"/>
    <cellStyle name="常规 6 10 6 2" xfId="20932"/>
    <cellStyle name="常规 6 10 6 2 2" xfId="20933"/>
    <cellStyle name="常规 6 10 6 2 3" xfId="20934"/>
    <cellStyle name="常规 6 10 6 2 4" xfId="20935"/>
    <cellStyle name="常规 6 10 6 2 5" xfId="20936"/>
    <cellStyle name="常规 6 10 6 2 6" xfId="20937"/>
    <cellStyle name="常规 6 10 6 3" xfId="20938"/>
    <cellStyle name="常规 6 10 6 4" xfId="20939"/>
    <cellStyle name="常规 6 10 6 5" xfId="20940"/>
    <cellStyle name="常规 6 10 6 6" xfId="20941"/>
    <cellStyle name="常规 6 10 6 7" xfId="20942"/>
    <cellStyle name="常规 6 10 7" xfId="20943"/>
    <cellStyle name="常规 6 10 7 2" xfId="20944"/>
    <cellStyle name="常规 6 10 7 3" xfId="20945"/>
    <cellStyle name="常规 6 10 7 4" xfId="20946"/>
    <cellStyle name="常规 6 10 7 5" xfId="20947"/>
    <cellStyle name="常规 6 10 7 6" xfId="20948"/>
    <cellStyle name="常规 6 10 8" xfId="20949"/>
    <cellStyle name="常规 6 10 9" xfId="20950"/>
    <cellStyle name="常规 6 11" xfId="20951"/>
    <cellStyle name="常规 6 11 10" xfId="20952"/>
    <cellStyle name="常规 6 11 11" xfId="20953"/>
    <cellStyle name="常规 6 11 12" xfId="20954"/>
    <cellStyle name="常规 6 11 2" xfId="20955"/>
    <cellStyle name="常规 6 11 2 2" xfId="20956"/>
    <cellStyle name="常规 6 11 2 2 2" xfId="20957"/>
    <cellStyle name="常规 6 11 2 2 3" xfId="20958"/>
    <cellStyle name="常规 6 11 2 2 4" xfId="20959"/>
    <cellStyle name="常规 6 11 2 2 5" xfId="20960"/>
    <cellStyle name="常规 6 11 2 2 6" xfId="20961"/>
    <cellStyle name="常规 6 11 2 3" xfId="20962"/>
    <cellStyle name="常规 6 11 2 4" xfId="20963"/>
    <cellStyle name="常规 6 11 2 5" xfId="20964"/>
    <cellStyle name="常规 6 11 2 6" xfId="20965"/>
    <cellStyle name="常规 6 11 2 7" xfId="20966"/>
    <cellStyle name="常规 6 11 3" xfId="20967"/>
    <cellStyle name="常规 6 11 3 2" xfId="20968"/>
    <cellStyle name="常规 6 11 3 2 2" xfId="20969"/>
    <cellStyle name="常规 6 11 3 2 3" xfId="20970"/>
    <cellStyle name="常规 6 11 3 2 4" xfId="20971"/>
    <cellStyle name="常规 6 11 3 2 5" xfId="20972"/>
    <cellStyle name="常规 6 11 3 2 6" xfId="20973"/>
    <cellStyle name="常规 6 11 3 3" xfId="20974"/>
    <cellStyle name="常规 6 11 3 4" xfId="20975"/>
    <cellStyle name="常规 6 11 3 5" xfId="20976"/>
    <cellStyle name="常规 6 11 3 6" xfId="20977"/>
    <cellStyle name="常规 6 11 3 7" xfId="20978"/>
    <cellStyle name="常规 6 11 4" xfId="20979"/>
    <cellStyle name="常规 6 11 4 2" xfId="20980"/>
    <cellStyle name="常规 6 11 4 2 2" xfId="20981"/>
    <cellStyle name="常规 6 11 4 2 3" xfId="20982"/>
    <cellStyle name="常规 6 11 4 2 4" xfId="20983"/>
    <cellStyle name="常规 6 11 4 2 5" xfId="20984"/>
    <cellStyle name="常规 6 11 4 2 6" xfId="20985"/>
    <cellStyle name="常规 6 11 4 3" xfId="20986"/>
    <cellStyle name="常规 6 11 4 4" xfId="20987"/>
    <cellStyle name="常规 6 11 4 5" xfId="20988"/>
    <cellStyle name="常规 6 11 4 6" xfId="20989"/>
    <cellStyle name="常规 6 11 4 7" xfId="20990"/>
    <cellStyle name="常规 6 11 5" xfId="20991"/>
    <cellStyle name="常规 6 11 5 2" xfId="20992"/>
    <cellStyle name="常规 6 11 5 2 2" xfId="20993"/>
    <cellStyle name="常规 6 11 5 2 3" xfId="20994"/>
    <cellStyle name="常规 6 11 5 2 4" xfId="20995"/>
    <cellStyle name="常规 6 11 5 2 5" xfId="20996"/>
    <cellStyle name="常规 6 11 5 2 6" xfId="20997"/>
    <cellStyle name="常规 6 11 5 3" xfId="20998"/>
    <cellStyle name="常规 6 11 5 4" xfId="20999"/>
    <cellStyle name="常规 6 11 5 5" xfId="21000"/>
    <cellStyle name="常规 6 11 5 6" xfId="21001"/>
    <cellStyle name="常规 6 11 5 7" xfId="21002"/>
    <cellStyle name="常规 6 11 6" xfId="21003"/>
    <cellStyle name="常规 6 11 6 2" xfId="21004"/>
    <cellStyle name="常规 6 11 6 3" xfId="21005"/>
    <cellStyle name="常规 6 11 6 4" xfId="21006"/>
    <cellStyle name="常规 6 11 6 5" xfId="21007"/>
    <cellStyle name="常规 6 11 6 6" xfId="21008"/>
    <cellStyle name="常规 6 11 7" xfId="21009"/>
    <cellStyle name="常规 6 11 8" xfId="21010"/>
    <cellStyle name="常规 6 11 9" xfId="21011"/>
    <cellStyle name="常规 6 12" xfId="21012"/>
    <cellStyle name="常规 6 12 10" xfId="21013"/>
    <cellStyle name="常规 6 12 11" xfId="21014"/>
    <cellStyle name="常规 6 12 2" xfId="21015"/>
    <cellStyle name="常规 6 12 2 2" xfId="21016"/>
    <cellStyle name="常规 6 12 2 2 2" xfId="21017"/>
    <cellStyle name="常规 6 12 2 2 3" xfId="21018"/>
    <cellStyle name="常规 6 12 2 2 4" xfId="21019"/>
    <cellStyle name="常规 6 12 2 2 5" xfId="21020"/>
    <cellStyle name="常规 6 12 2 2 6" xfId="21021"/>
    <cellStyle name="常规 6 12 2 3" xfId="21022"/>
    <cellStyle name="常规 6 12 2 4" xfId="21023"/>
    <cellStyle name="常规 6 12 2 5" xfId="21024"/>
    <cellStyle name="常规 6 12 2 6" xfId="21025"/>
    <cellStyle name="常规 6 12 2 7" xfId="21026"/>
    <cellStyle name="常规 6 12 3" xfId="21027"/>
    <cellStyle name="常规 6 12 3 2" xfId="21028"/>
    <cellStyle name="常规 6 12 3 2 2" xfId="21029"/>
    <cellStyle name="常规 6 12 3 2 3" xfId="21030"/>
    <cellStyle name="常规 6 12 3 2 4" xfId="21031"/>
    <cellStyle name="常规 6 12 3 2 5" xfId="21032"/>
    <cellStyle name="常规 6 12 3 2 6" xfId="21033"/>
    <cellStyle name="常规 6 12 3 3" xfId="21034"/>
    <cellStyle name="常规 6 12 3 4" xfId="21035"/>
    <cellStyle name="常规 6 12 3 5" xfId="21036"/>
    <cellStyle name="常规 6 12 3 6" xfId="21037"/>
    <cellStyle name="常规 6 12 3 7" xfId="21038"/>
    <cellStyle name="常规 6 12 4" xfId="21039"/>
    <cellStyle name="常规 6 12 4 2" xfId="21040"/>
    <cellStyle name="常规 6 12 4 2 2" xfId="21041"/>
    <cellStyle name="常规 6 12 4 2 3" xfId="21042"/>
    <cellStyle name="常规 6 12 4 2 4" xfId="21043"/>
    <cellStyle name="常规 6 12 4 2 5" xfId="21044"/>
    <cellStyle name="常规 6 12 4 2 6" xfId="21045"/>
    <cellStyle name="常规 6 12 4 3" xfId="21046"/>
    <cellStyle name="常规 6 12 4 4" xfId="21047"/>
    <cellStyle name="常规 6 12 4 5" xfId="21048"/>
    <cellStyle name="常规 6 12 4 6" xfId="21049"/>
    <cellStyle name="常规 6 12 4 7" xfId="21050"/>
    <cellStyle name="常规 6 12 5" xfId="21051"/>
    <cellStyle name="常规 6 12 5 2" xfId="21052"/>
    <cellStyle name="常规 6 12 5 3" xfId="21053"/>
    <cellStyle name="常规 6 12 5 4" xfId="21054"/>
    <cellStyle name="常规 6 12 5 5" xfId="21055"/>
    <cellStyle name="常规 6 12 5 6" xfId="21056"/>
    <cellStyle name="常规 6 12 6" xfId="21057"/>
    <cellStyle name="常规 6 12 7" xfId="21058"/>
    <cellStyle name="常规 6 12 8" xfId="21059"/>
    <cellStyle name="常规 6 12 9" xfId="21060"/>
    <cellStyle name="常规 6 13" xfId="21061"/>
    <cellStyle name="常规 6 13 10" xfId="21062"/>
    <cellStyle name="常规 6 13 2" xfId="21063"/>
    <cellStyle name="常规 6 13 2 2" xfId="21064"/>
    <cellStyle name="常规 6 13 2 2 2" xfId="21065"/>
    <cellStyle name="常规 6 13 2 2 3" xfId="21066"/>
    <cellStyle name="常规 6 13 2 2 4" xfId="21067"/>
    <cellStyle name="常规 6 13 2 2 5" xfId="21068"/>
    <cellStyle name="常规 6 13 2 2 6" xfId="21069"/>
    <cellStyle name="常规 6 13 2 3" xfId="21070"/>
    <cellStyle name="常规 6 13 2 4" xfId="21071"/>
    <cellStyle name="常规 6 13 2 5" xfId="21072"/>
    <cellStyle name="常规 6 13 2 6" xfId="21073"/>
    <cellStyle name="常规 6 13 2 7" xfId="21074"/>
    <cellStyle name="常规 6 13 3" xfId="21075"/>
    <cellStyle name="常规 6 13 3 2" xfId="21076"/>
    <cellStyle name="常规 6 13 3 2 2" xfId="21077"/>
    <cellStyle name="常规 6 13 3 2 3" xfId="21078"/>
    <cellStyle name="常规 6 13 3 2 4" xfId="21079"/>
    <cellStyle name="常规 6 13 3 2 5" xfId="21080"/>
    <cellStyle name="常规 6 13 3 2 6" xfId="21081"/>
    <cellStyle name="常规 6 13 3 3" xfId="21082"/>
    <cellStyle name="常规 6 13 3 4" xfId="21083"/>
    <cellStyle name="常规 6 13 3 5" xfId="21084"/>
    <cellStyle name="常规 6 13 3 6" xfId="21085"/>
    <cellStyle name="常规 6 13 3 7" xfId="21086"/>
    <cellStyle name="常规 6 13 4" xfId="21087"/>
    <cellStyle name="常规 6 13 4 2" xfId="21088"/>
    <cellStyle name="常规 6 13 4 3" xfId="21089"/>
    <cellStyle name="常规 6 13 4 4" xfId="21090"/>
    <cellStyle name="常规 6 13 4 5" xfId="21091"/>
    <cellStyle name="常规 6 13 4 6" xfId="21092"/>
    <cellStyle name="常规 6 13 5" xfId="21093"/>
    <cellStyle name="常规 6 13 6" xfId="21094"/>
    <cellStyle name="常规 6 13 7" xfId="21095"/>
    <cellStyle name="常规 6 13 8" xfId="21096"/>
    <cellStyle name="常规 6 13 9" xfId="21097"/>
    <cellStyle name="常规 6 14" xfId="21098"/>
    <cellStyle name="常规 6 14 2" xfId="21099"/>
    <cellStyle name="常规 6 14 2 2" xfId="21100"/>
    <cellStyle name="常规 6 14 2 2 2" xfId="21101"/>
    <cellStyle name="常规 6 14 2 2 3" xfId="21102"/>
    <cellStyle name="常规 6 14 2 2 4" xfId="21103"/>
    <cellStyle name="常规 6 14 2 2 5" xfId="21104"/>
    <cellStyle name="常规 6 14 2 2 6" xfId="21105"/>
    <cellStyle name="常规 6 14 2 3" xfId="21106"/>
    <cellStyle name="常规 6 14 2 4" xfId="21107"/>
    <cellStyle name="常规 6 14 2 5" xfId="21108"/>
    <cellStyle name="常规 6 14 2 6" xfId="21109"/>
    <cellStyle name="常规 6 14 2 7" xfId="21110"/>
    <cellStyle name="常规 6 14 3" xfId="21111"/>
    <cellStyle name="常规 6 14 3 2" xfId="21112"/>
    <cellStyle name="常规 6 14 3 3" xfId="21113"/>
    <cellStyle name="常规 6 14 3 4" xfId="21114"/>
    <cellStyle name="常规 6 14 3 5" xfId="21115"/>
    <cellStyle name="常规 6 14 3 6" xfId="21116"/>
    <cellStyle name="常规 6 14 4" xfId="21117"/>
    <cellStyle name="常规 6 14 5" xfId="21118"/>
    <cellStyle name="常规 6 14 6" xfId="21119"/>
    <cellStyle name="常规 6 14 7" xfId="21120"/>
    <cellStyle name="常规 6 14 8" xfId="21121"/>
    <cellStyle name="常规 6 14 9" xfId="21122"/>
    <cellStyle name="常规 6 15" xfId="21123"/>
    <cellStyle name="常规 6 15 2" xfId="21124"/>
    <cellStyle name="常规 6 15 2 2" xfId="21125"/>
    <cellStyle name="常规 6 15 2 2 2" xfId="21126"/>
    <cellStyle name="常规 6 15 2 2 3" xfId="21127"/>
    <cellStyle name="常规 6 15 2 2 4" xfId="21128"/>
    <cellStyle name="常规 6 15 2 2 5" xfId="21129"/>
    <cellStyle name="常规 6 15 2 2 6" xfId="21130"/>
    <cellStyle name="常规 6 15 2 3" xfId="21131"/>
    <cellStyle name="常规 6 15 2 4" xfId="21132"/>
    <cellStyle name="常规 6 15 2 5" xfId="21133"/>
    <cellStyle name="常规 6 15 2 6" xfId="21134"/>
    <cellStyle name="常规 6 15 2 7" xfId="21135"/>
    <cellStyle name="常规 6 15 3" xfId="21136"/>
    <cellStyle name="常规 6 15 3 2" xfId="21137"/>
    <cellStyle name="常规 6 15 3 3" xfId="21138"/>
    <cellStyle name="常规 6 15 3 4" xfId="21139"/>
    <cellStyle name="常规 6 15 3 5" xfId="21140"/>
    <cellStyle name="常规 6 15 3 6" xfId="21141"/>
    <cellStyle name="常规 6 15 4" xfId="21142"/>
    <cellStyle name="常规 6 15 5" xfId="21143"/>
    <cellStyle name="常规 6 15 6" xfId="21144"/>
    <cellStyle name="常规 6 15 7" xfId="21145"/>
    <cellStyle name="常规 6 15 8" xfId="21146"/>
    <cellStyle name="常规 6 16" xfId="21147"/>
    <cellStyle name="常规 6 16 2" xfId="21148"/>
    <cellStyle name="常规 6 16 2 2" xfId="21149"/>
    <cellStyle name="常规 6 16 2 2 2" xfId="21150"/>
    <cellStyle name="常规 6 16 2 2 3" xfId="21151"/>
    <cellStyle name="常规 6 16 2 2 4" xfId="21152"/>
    <cellStyle name="常规 6 16 2 2 5" xfId="21153"/>
    <cellStyle name="常规 6 16 2 2 6" xfId="21154"/>
    <cellStyle name="常规 6 16 2 3" xfId="21155"/>
    <cellStyle name="常规 6 16 2 4" xfId="21156"/>
    <cellStyle name="常规 6 16 2 5" xfId="21157"/>
    <cellStyle name="常规 6 16 2 6" xfId="21158"/>
    <cellStyle name="常规 6 16 2 7" xfId="21159"/>
    <cellStyle name="常规 6 16 3" xfId="21160"/>
    <cellStyle name="常规 6 16 3 2" xfId="21161"/>
    <cellStyle name="常规 6 16 3 3" xfId="21162"/>
    <cellStyle name="常规 6 16 3 4" xfId="21163"/>
    <cellStyle name="常规 6 16 3 5" xfId="21164"/>
    <cellStyle name="常规 6 16 3 6" xfId="21165"/>
    <cellStyle name="常规 6 16 4" xfId="21166"/>
    <cellStyle name="常规 6 16 5" xfId="21167"/>
    <cellStyle name="常规 6 16 6" xfId="21168"/>
    <cellStyle name="常规 6 16 7" xfId="21169"/>
    <cellStyle name="常规 6 16 8" xfId="21170"/>
    <cellStyle name="常规 6 17" xfId="21171"/>
    <cellStyle name="常规 6 17 2" xfId="21172"/>
    <cellStyle name="常规 6 17 2 2" xfId="21173"/>
    <cellStyle name="常规 6 17 2 2 2" xfId="21174"/>
    <cellStyle name="常规 6 17 2 2 3" xfId="21175"/>
    <cellStyle name="常规 6 17 2 2 4" xfId="21176"/>
    <cellStyle name="常规 6 17 2 2 5" xfId="21177"/>
    <cellStyle name="常规 6 17 2 2 6" xfId="21178"/>
    <cellStyle name="常规 6 17 2 3" xfId="21179"/>
    <cellStyle name="常规 6 17 2 4" xfId="21180"/>
    <cellStyle name="常规 6 17 2 5" xfId="21181"/>
    <cellStyle name="常规 6 17 2 6" xfId="21182"/>
    <cellStyle name="常规 6 17 2 7" xfId="21183"/>
    <cellStyle name="常规 6 17 3" xfId="21184"/>
    <cellStyle name="常规 6 17 3 2" xfId="21185"/>
    <cellStyle name="常规 6 17 3 3" xfId="21186"/>
    <cellStyle name="常规 6 17 3 4" xfId="21187"/>
    <cellStyle name="常规 6 17 3 5" xfId="21188"/>
    <cellStyle name="常规 6 17 3 6" xfId="21189"/>
    <cellStyle name="常规 6 17 4" xfId="21190"/>
    <cellStyle name="常规 6 17 5" xfId="21191"/>
    <cellStyle name="常规 6 17 6" xfId="21192"/>
    <cellStyle name="常规 6 17 7" xfId="21193"/>
    <cellStyle name="常规 6 17 8" xfId="21194"/>
    <cellStyle name="常规 6 18" xfId="21195"/>
    <cellStyle name="常规 6 18 2" xfId="21196"/>
    <cellStyle name="常规 6 18 2 2" xfId="21197"/>
    <cellStyle name="常规 6 18 2 3" xfId="21198"/>
    <cellStyle name="常规 6 18 2 4" xfId="21199"/>
    <cellStyle name="常规 6 18 2 5" xfId="21200"/>
    <cellStyle name="常规 6 18 2 6" xfId="21201"/>
    <cellStyle name="常规 6 18 3" xfId="21202"/>
    <cellStyle name="常规 6 18 4" xfId="21203"/>
    <cellStyle name="常规 6 18 5" xfId="21204"/>
    <cellStyle name="常规 6 18 6" xfId="21205"/>
    <cellStyle name="常规 6 18 7" xfId="21206"/>
    <cellStyle name="常规 6 19" xfId="21207"/>
    <cellStyle name="常规 6 19 2" xfId="21208"/>
    <cellStyle name="常规 6 19 2 2" xfId="21209"/>
    <cellStyle name="常规 6 19 2 3" xfId="21210"/>
    <cellStyle name="常规 6 19 2 4" xfId="21211"/>
    <cellStyle name="常规 6 19 2 5" xfId="21212"/>
    <cellStyle name="常规 6 19 2 6" xfId="21213"/>
    <cellStyle name="常规 6 19 3" xfId="21214"/>
    <cellStyle name="常规 6 19 4" xfId="21215"/>
    <cellStyle name="常规 6 19 5" xfId="21216"/>
    <cellStyle name="常规 6 19 6" xfId="21217"/>
    <cellStyle name="常规 6 19 7" xfId="21218"/>
    <cellStyle name="常规 6 2" xfId="21219"/>
    <cellStyle name="常规 6 2 10" xfId="21220"/>
    <cellStyle name="常规 6 2 10 10" xfId="21221"/>
    <cellStyle name="常规 6 2 10 2" xfId="21222"/>
    <cellStyle name="常规 6 2 10 2 2" xfId="21223"/>
    <cellStyle name="常规 6 2 10 2 2 2" xfId="21224"/>
    <cellStyle name="常规 6 2 10 2 2 3" xfId="21225"/>
    <cellStyle name="常规 6 2 10 2 2 4" xfId="21226"/>
    <cellStyle name="常规 6 2 10 2 2 5" xfId="21227"/>
    <cellStyle name="常规 6 2 10 2 2 6" xfId="21228"/>
    <cellStyle name="常规 6 2 10 2 3" xfId="21229"/>
    <cellStyle name="常规 6 2 10 2 4" xfId="21230"/>
    <cellStyle name="常规 6 2 10 2 5" xfId="21231"/>
    <cellStyle name="常规 6 2 10 2 6" xfId="21232"/>
    <cellStyle name="常规 6 2 10 2 7" xfId="21233"/>
    <cellStyle name="常规 6 2 10 3" xfId="21234"/>
    <cellStyle name="常规 6 2 10 3 2" xfId="21235"/>
    <cellStyle name="常规 6 2 10 3 2 2" xfId="21236"/>
    <cellStyle name="常规 6 2 10 3 2 3" xfId="21237"/>
    <cellStyle name="常规 6 2 10 3 2 4" xfId="21238"/>
    <cellStyle name="常规 6 2 10 3 2 5" xfId="21239"/>
    <cellStyle name="常规 6 2 10 3 2 6" xfId="21240"/>
    <cellStyle name="常规 6 2 10 3 3" xfId="21241"/>
    <cellStyle name="常规 6 2 10 3 4" xfId="21242"/>
    <cellStyle name="常规 6 2 10 3 5" xfId="21243"/>
    <cellStyle name="常规 6 2 10 3 6" xfId="21244"/>
    <cellStyle name="常规 6 2 10 3 7" xfId="21245"/>
    <cellStyle name="常规 6 2 10 4" xfId="21246"/>
    <cellStyle name="常规 6 2 10 4 2" xfId="21247"/>
    <cellStyle name="常规 6 2 10 4 2 2" xfId="21248"/>
    <cellStyle name="常规 6 2 10 4 2 3" xfId="21249"/>
    <cellStyle name="常规 6 2 10 4 2 4" xfId="21250"/>
    <cellStyle name="常规 6 2 10 4 2 5" xfId="21251"/>
    <cellStyle name="常规 6 2 10 4 2 6" xfId="21252"/>
    <cellStyle name="常规 6 2 10 4 3" xfId="21253"/>
    <cellStyle name="常规 6 2 10 4 4" xfId="21254"/>
    <cellStyle name="常规 6 2 10 4 5" xfId="21255"/>
    <cellStyle name="常规 6 2 10 4 6" xfId="21256"/>
    <cellStyle name="常规 6 2 10 4 7" xfId="21257"/>
    <cellStyle name="常规 6 2 10 5" xfId="21258"/>
    <cellStyle name="常规 6 2 10 5 2" xfId="21259"/>
    <cellStyle name="常规 6 2 10 5 3" xfId="21260"/>
    <cellStyle name="常规 6 2 10 5 4" xfId="21261"/>
    <cellStyle name="常规 6 2 10 5 5" xfId="21262"/>
    <cellStyle name="常规 6 2 10 5 6" xfId="21263"/>
    <cellStyle name="常规 6 2 10 6" xfId="21264"/>
    <cellStyle name="常规 6 2 10 7" xfId="21265"/>
    <cellStyle name="常规 6 2 10 8" xfId="21266"/>
    <cellStyle name="常规 6 2 10 9" xfId="21267"/>
    <cellStyle name="常规 6 2 11" xfId="21268"/>
    <cellStyle name="常规 6 2 11 2" xfId="21269"/>
    <cellStyle name="常规 6 2 11 2 2" xfId="21270"/>
    <cellStyle name="常规 6 2 11 2 2 2" xfId="21271"/>
    <cellStyle name="常规 6 2 11 2 2 3" xfId="21272"/>
    <cellStyle name="常规 6 2 11 2 2 4" xfId="21273"/>
    <cellStyle name="常规 6 2 11 2 2 5" xfId="21274"/>
    <cellStyle name="常规 6 2 11 2 2 6" xfId="21275"/>
    <cellStyle name="常规 6 2 11 2 3" xfId="21276"/>
    <cellStyle name="常规 6 2 11 2 4" xfId="21277"/>
    <cellStyle name="常规 6 2 11 2 5" xfId="21278"/>
    <cellStyle name="常规 6 2 11 2 6" xfId="21279"/>
    <cellStyle name="常规 6 2 11 2 7" xfId="21280"/>
    <cellStyle name="常规 6 2 11 3" xfId="21281"/>
    <cellStyle name="常规 6 2 11 3 2" xfId="21282"/>
    <cellStyle name="常规 6 2 11 3 2 2" xfId="21283"/>
    <cellStyle name="常规 6 2 11 3 2 3" xfId="21284"/>
    <cellStyle name="常规 6 2 11 3 2 4" xfId="21285"/>
    <cellStyle name="常规 6 2 11 3 2 5" xfId="21286"/>
    <cellStyle name="常规 6 2 11 3 2 6" xfId="21287"/>
    <cellStyle name="常规 6 2 11 3 3" xfId="21288"/>
    <cellStyle name="常规 6 2 11 3 4" xfId="21289"/>
    <cellStyle name="常规 6 2 11 3 5" xfId="21290"/>
    <cellStyle name="常规 6 2 11 3 6" xfId="21291"/>
    <cellStyle name="常规 6 2 11 3 7" xfId="21292"/>
    <cellStyle name="常规 6 2 11 4" xfId="21293"/>
    <cellStyle name="常规 6 2 11 4 2" xfId="21294"/>
    <cellStyle name="常规 6 2 11 4 3" xfId="21295"/>
    <cellStyle name="常规 6 2 11 4 4" xfId="21296"/>
    <cellStyle name="常规 6 2 11 4 5" xfId="21297"/>
    <cellStyle name="常规 6 2 11 4 6" xfId="21298"/>
    <cellStyle name="常规 6 2 11 5" xfId="21299"/>
    <cellStyle name="常规 6 2 11 6" xfId="21300"/>
    <cellStyle name="常规 6 2 11 7" xfId="21301"/>
    <cellStyle name="常规 6 2 11 8" xfId="21302"/>
    <cellStyle name="常规 6 2 11 9" xfId="21303"/>
    <cellStyle name="常规 6 2 12" xfId="21304"/>
    <cellStyle name="常规 6 2 12 2" xfId="21305"/>
    <cellStyle name="常规 6 2 12 2 2" xfId="21306"/>
    <cellStyle name="常规 6 2 12 2 2 2" xfId="21307"/>
    <cellStyle name="常规 6 2 12 2 2 3" xfId="21308"/>
    <cellStyle name="常规 6 2 12 2 2 4" xfId="21309"/>
    <cellStyle name="常规 6 2 12 2 2 5" xfId="21310"/>
    <cellStyle name="常规 6 2 12 2 2 6" xfId="21311"/>
    <cellStyle name="常规 6 2 12 2 3" xfId="21312"/>
    <cellStyle name="常规 6 2 12 2 4" xfId="21313"/>
    <cellStyle name="常规 6 2 12 2 5" xfId="21314"/>
    <cellStyle name="常规 6 2 12 2 6" xfId="21315"/>
    <cellStyle name="常规 6 2 12 2 7" xfId="21316"/>
    <cellStyle name="常规 6 2 12 3" xfId="21317"/>
    <cellStyle name="常规 6 2 12 3 2" xfId="21318"/>
    <cellStyle name="常规 6 2 12 3 3" xfId="21319"/>
    <cellStyle name="常规 6 2 12 3 4" xfId="21320"/>
    <cellStyle name="常规 6 2 12 3 5" xfId="21321"/>
    <cellStyle name="常规 6 2 12 3 6" xfId="21322"/>
    <cellStyle name="常规 6 2 12 4" xfId="21323"/>
    <cellStyle name="常规 6 2 12 5" xfId="21324"/>
    <cellStyle name="常规 6 2 12 6" xfId="21325"/>
    <cellStyle name="常规 6 2 12 7" xfId="21326"/>
    <cellStyle name="常规 6 2 12 8" xfId="21327"/>
    <cellStyle name="常规 6 2 13" xfId="21328"/>
    <cellStyle name="常规 6 2 13 2" xfId="21329"/>
    <cellStyle name="常规 6 2 13 2 2" xfId="21330"/>
    <cellStyle name="常规 6 2 13 2 2 2" xfId="21331"/>
    <cellStyle name="常规 6 2 13 2 2 3" xfId="21332"/>
    <cellStyle name="常规 6 2 13 2 2 4" xfId="21333"/>
    <cellStyle name="常规 6 2 13 2 2 5" xfId="21334"/>
    <cellStyle name="常规 6 2 13 2 2 6" xfId="21335"/>
    <cellStyle name="常规 6 2 13 2 3" xfId="21336"/>
    <cellStyle name="常规 6 2 13 2 4" xfId="21337"/>
    <cellStyle name="常规 6 2 13 2 5" xfId="21338"/>
    <cellStyle name="常规 6 2 13 2 6" xfId="21339"/>
    <cellStyle name="常规 6 2 13 2 7" xfId="21340"/>
    <cellStyle name="常规 6 2 13 3" xfId="21341"/>
    <cellStyle name="常规 6 2 13 3 2" xfId="21342"/>
    <cellStyle name="常规 6 2 13 3 3" xfId="21343"/>
    <cellStyle name="常规 6 2 13 3 4" xfId="21344"/>
    <cellStyle name="常规 6 2 13 3 5" xfId="21345"/>
    <cellStyle name="常规 6 2 13 3 6" xfId="21346"/>
    <cellStyle name="常规 6 2 13 4" xfId="21347"/>
    <cellStyle name="常规 6 2 13 5" xfId="21348"/>
    <cellStyle name="常规 6 2 13 6" xfId="21349"/>
    <cellStyle name="常规 6 2 13 7" xfId="21350"/>
    <cellStyle name="常规 6 2 13 8" xfId="21351"/>
    <cellStyle name="常规 6 2 14" xfId="21352"/>
    <cellStyle name="常规 6 2 14 2" xfId="21353"/>
    <cellStyle name="常规 6 2 14 2 2" xfId="21354"/>
    <cellStyle name="常规 6 2 14 2 2 2" xfId="21355"/>
    <cellStyle name="常规 6 2 14 2 2 3" xfId="21356"/>
    <cellStyle name="常规 6 2 14 2 2 4" xfId="21357"/>
    <cellStyle name="常规 6 2 14 2 2 5" xfId="21358"/>
    <cellStyle name="常规 6 2 14 2 2 6" xfId="21359"/>
    <cellStyle name="常规 6 2 14 2 3" xfId="21360"/>
    <cellStyle name="常规 6 2 14 2 4" xfId="21361"/>
    <cellStyle name="常规 6 2 14 2 5" xfId="21362"/>
    <cellStyle name="常规 6 2 14 2 6" xfId="21363"/>
    <cellStyle name="常规 6 2 14 2 7" xfId="21364"/>
    <cellStyle name="常规 6 2 14 3" xfId="21365"/>
    <cellStyle name="常规 6 2 14 3 2" xfId="21366"/>
    <cellStyle name="常规 6 2 14 3 3" xfId="21367"/>
    <cellStyle name="常规 6 2 14 3 4" xfId="21368"/>
    <cellStyle name="常规 6 2 14 3 5" xfId="21369"/>
    <cellStyle name="常规 6 2 14 3 6" xfId="21370"/>
    <cellStyle name="常规 6 2 14 4" xfId="21371"/>
    <cellStyle name="常规 6 2 14 5" xfId="21372"/>
    <cellStyle name="常规 6 2 14 6" xfId="21373"/>
    <cellStyle name="常规 6 2 14 7" xfId="21374"/>
    <cellStyle name="常规 6 2 14 8" xfId="21375"/>
    <cellStyle name="常规 6 2 15" xfId="21376"/>
    <cellStyle name="常规 6 2 15 2" xfId="21377"/>
    <cellStyle name="常规 6 2 15 2 2" xfId="21378"/>
    <cellStyle name="常规 6 2 15 2 2 2" xfId="21379"/>
    <cellStyle name="常规 6 2 15 2 2 3" xfId="21380"/>
    <cellStyle name="常规 6 2 15 2 2 4" xfId="21381"/>
    <cellStyle name="常规 6 2 15 2 2 5" xfId="21382"/>
    <cellStyle name="常规 6 2 15 2 2 6" xfId="21383"/>
    <cellStyle name="常规 6 2 15 2 3" xfId="21384"/>
    <cellStyle name="常规 6 2 15 2 4" xfId="21385"/>
    <cellStyle name="常规 6 2 15 2 5" xfId="21386"/>
    <cellStyle name="常规 6 2 15 2 6" xfId="21387"/>
    <cellStyle name="常规 6 2 15 2 7" xfId="21388"/>
    <cellStyle name="常规 6 2 15 3" xfId="21389"/>
    <cellStyle name="常规 6 2 15 3 2" xfId="21390"/>
    <cellStyle name="常规 6 2 15 3 3" xfId="21391"/>
    <cellStyle name="常规 6 2 15 3 4" xfId="21392"/>
    <cellStyle name="常规 6 2 15 3 5" xfId="21393"/>
    <cellStyle name="常规 6 2 15 3 6" xfId="21394"/>
    <cellStyle name="常规 6 2 15 4" xfId="21395"/>
    <cellStyle name="常规 6 2 15 5" xfId="21396"/>
    <cellStyle name="常规 6 2 15 6" xfId="21397"/>
    <cellStyle name="常规 6 2 15 7" xfId="21398"/>
    <cellStyle name="常规 6 2 15 8" xfId="21399"/>
    <cellStyle name="常规 6 2 16" xfId="21400"/>
    <cellStyle name="常规 6 2 16 2" xfId="21401"/>
    <cellStyle name="常规 6 2 16 2 2" xfId="21402"/>
    <cellStyle name="常规 6 2 16 2 3" xfId="21403"/>
    <cellStyle name="常规 6 2 16 2 4" xfId="21404"/>
    <cellStyle name="常规 6 2 16 2 5" xfId="21405"/>
    <cellStyle name="常规 6 2 16 2 6" xfId="21406"/>
    <cellStyle name="常规 6 2 16 3" xfId="21407"/>
    <cellStyle name="常规 6 2 16 4" xfId="21408"/>
    <cellStyle name="常规 6 2 16 5" xfId="21409"/>
    <cellStyle name="常规 6 2 16 6" xfId="21410"/>
    <cellStyle name="常规 6 2 16 7" xfId="21411"/>
    <cellStyle name="常规 6 2 17" xfId="21412"/>
    <cellStyle name="常规 6 2 17 2" xfId="21413"/>
    <cellStyle name="常规 6 2 17 2 2" xfId="21414"/>
    <cellStyle name="常规 6 2 17 2 3" xfId="21415"/>
    <cellStyle name="常规 6 2 17 2 4" xfId="21416"/>
    <cellStyle name="常规 6 2 17 2 5" xfId="21417"/>
    <cellStyle name="常规 6 2 17 2 6" xfId="21418"/>
    <cellStyle name="常规 6 2 17 3" xfId="21419"/>
    <cellStyle name="常规 6 2 17 4" xfId="21420"/>
    <cellStyle name="常规 6 2 17 5" xfId="21421"/>
    <cellStyle name="常规 6 2 17 6" xfId="21422"/>
    <cellStyle name="常规 6 2 17 7" xfId="21423"/>
    <cellStyle name="常规 6 2 18" xfId="21424"/>
    <cellStyle name="常规 6 2 18 2" xfId="21425"/>
    <cellStyle name="常规 6 2 18 2 2" xfId="21426"/>
    <cellStyle name="常规 6 2 18 2 3" xfId="21427"/>
    <cellStyle name="常规 6 2 18 2 4" xfId="21428"/>
    <cellStyle name="常规 6 2 18 2 5" xfId="21429"/>
    <cellStyle name="常规 6 2 18 2 6" xfId="21430"/>
    <cellStyle name="常规 6 2 18 3" xfId="21431"/>
    <cellStyle name="常规 6 2 18 4" xfId="21432"/>
    <cellStyle name="常规 6 2 18 5" xfId="21433"/>
    <cellStyle name="常规 6 2 18 6" xfId="21434"/>
    <cellStyle name="常规 6 2 18 7" xfId="21435"/>
    <cellStyle name="常规 6 2 19" xfId="21436"/>
    <cellStyle name="常规 6 2 19 2" xfId="21437"/>
    <cellStyle name="常规 6 2 19 2 2" xfId="21438"/>
    <cellStyle name="常规 6 2 19 2 3" xfId="21439"/>
    <cellStyle name="常规 6 2 19 2 4" xfId="21440"/>
    <cellStyle name="常规 6 2 19 2 5" xfId="21441"/>
    <cellStyle name="常规 6 2 19 2 6" xfId="21442"/>
    <cellStyle name="常规 6 2 19 3" xfId="21443"/>
    <cellStyle name="常规 6 2 19 4" xfId="21444"/>
    <cellStyle name="常规 6 2 19 5" xfId="21445"/>
    <cellStyle name="常规 6 2 19 6" xfId="21446"/>
    <cellStyle name="常规 6 2 19 7" xfId="21447"/>
    <cellStyle name="常规 6 2 2" xfId="21448"/>
    <cellStyle name="常规 6 2 2 10" xfId="21449"/>
    <cellStyle name="常规 6 2 2 10 2" xfId="21450"/>
    <cellStyle name="常规 6 2 2 10 2 2" xfId="21451"/>
    <cellStyle name="常规 6 2 2 10 2 2 2" xfId="21452"/>
    <cellStyle name="常规 6 2 2 10 2 2 3" xfId="21453"/>
    <cellStyle name="常规 6 2 2 10 2 2 4" xfId="21454"/>
    <cellStyle name="常规 6 2 2 10 2 2 5" xfId="21455"/>
    <cellStyle name="常规 6 2 2 10 2 2 6" xfId="21456"/>
    <cellStyle name="常规 6 2 2 10 2 3" xfId="21457"/>
    <cellStyle name="常规 6 2 2 10 2 4" xfId="21458"/>
    <cellStyle name="常规 6 2 2 10 2 5" xfId="21459"/>
    <cellStyle name="常规 6 2 2 10 2 6" xfId="21460"/>
    <cellStyle name="常规 6 2 2 10 2 7" xfId="21461"/>
    <cellStyle name="常规 6 2 2 10 3" xfId="21462"/>
    <cellStyle name="常规 6 2 2 10 3 2" xfId="21463"/>
    <cellStyle name="常规 6 2 2 10 3 2 2" xfId="21464"/>
    <cellStyle name="常规 6 2 2 10 3 2 3" xfId="21465"/>
    <cellStyle name="常规 6 2 2 10 3 2 4" xfId="21466"/>
    <cellStyle name="常规 6 2 2 10 3 2 5" xfId="21467"/>
    <cellStyle name="常规 6 2 2 10 3 2 6" xfId="21468"/>
    <cellStyle name="常规 6 2 2 10 3 3" xfId="21469"/>
    <cellStyle name="常规 6 2 2 10 3 4" xfId="21470"/>
    <cellStyle name="常规 6 2 2 10 3 5" xfId="21471"/>
    <cellStyle name="常规 6 2 2 10 3 6" xfId="21472"/>
    <cellStyle name="常规 6 2 2 10 3 7" xfId="21473"/>
    <cellStyle name="常规 6 2 2 10 4" xfId="21474"/>
    <cellStyle name="常规 6 2 2 10 4 2" xfId="21475"/>
    <cellStyle name="常规 6 2 2 10 4 3" xfId="21476"/>
    <cellStyle name="常规 6 2 2 10 4 4" xfId="21477"/>
    <cellStyle name="常规 6 2 2 10 4 5" xfId="21478"/>
    <cellStyle name="常规 6 2 2 10 4 6" xfId="21479"/>
    <cellStyle name="常规 6 2 2 10 5" xfId="21480"/>
    <cellStyle name="常规 6 2 2 10 6" xfId="21481"/>
    <cellStyle name="常规 6 2 2 10 7" xfId="21482"/>
    <cellStyle name="常规 6 2 2 10 8" xfId="21483"/>
    <cellStyle name="常规 6 2 2 10 9" xfId="21484"/>
    <cellStyle name="常规 6 2 2 11" xfId="21485"/>
    <cellStyle name="常规 6 2 2 11 2" xfId="21486"/>
    <cellStyle name="常规 6 2 2 11 2 2" xfId="21487"/>
    <cellStyle name="常规 6 2 2 11 2 2 2" xfId="21488"/>
    <cellStyle name="常规 6 2 2 11 2 2 3" xfId="21489"/>
    <cellStyle name="常规 6 2 2 11 2 2 4" xfId="21490"/>
    <cellStyle name="常规 6 2 2 11 2 2 5" xfId="21491"/>
    <cellStyle name="常规 6 2 2 11 2 2 6" xfId="21492"/>
    <cellStyle name="常规 6 2 2 11 2 3" xfId="21493"/>
    <cellStyle name="常规 6 2 2 11 2 4" xfId="21494"/>
    <cellStyle name="常规 6 2 2 11 2 5" xfId="21495"/>
    <cellStyle name="常规 6 2 2 11 2 6" xfId="21496"/>
    <cellStyle name="常规 6 2 2 11 2 7" xfId="21497"/>
    <cellStyle name="常规 6 2 2 11 3" xfId="21498"/>
    <cellStyle name="常规 6 2 2 11 3 2" xfId="21499"/>
    <cellStyle name="常规 6 2 2 11 3 3" xfId="21500"/>
    <cellStyle name="常规 6 2 2 11 3 4" xfId="21501"/>
    <cellStyle name="常规 6 2 2 11 3 5" xfId="21502"/>
    <cellStyle name="常规 6 2 2 11 3 6" xfId="21503"/>
    <cellStyle name="常规 6 2 2 11 4" xfId="21504"/>
    <cellStyle name="常规 6 2 2 11 5" xfId="21505"/>
    <cellStyle name="常规 6 2 2 11 6" xfId="21506"/>
    <cellStyle name="常规 6 2 2 11 7" xfId="21507"/>
    <cellStyle name="常规 6 2 2 11 8" xfId="21508"/>
    <cellStyle name="常规 6 2 2 12" xfId="21509"/>
    <cellStyle name="常规 6 2 2 12 2" xfId="21510"/>
    <cellStyle name="常规 6 2 2 12 2 2" xfId="21511"/>
    <cellStyle name="常规 6 2 2 12 2 2 2" xfId="21512"/>
    <cellStyle name="常规 6 2 2 12 2 2 3" xfId="21513"/>
    <cellStyle name="常规 6 2 2 12 2 2 4" xfId="21514"/>
    <cellStyle name="常规 6 2 2 12 2 2 5" xfId="21515"/>
    <cellStyle name="常规 6 2 2 12 2 2 6" xfId="21516"/>
    <cellStyle name="常规 6 2 2 12 2 3" xfId="21517"/>
    <cellStyle name="常规 6 2 2 12 2 4" xfId="21518"/>
    <cellStyle name="常规 6 2 2 12 2 5" xfId="21519"/>
    <cellStyle name="常规 6 2 2 12 2 6" xfId="21520"/>
    <cellStyle name="常规 6 2 2 12 2 7" xfId="21521"/>
    <cellStyle name="常规 6 2 2 12 3" xfId="21522"/>
    <cellStyle name="常规 6 2 2 12 3 2" xfId="21523"/>
    <cellStyle name="常规 6 2 2 12 3 3" xfId="21524"/>
    <cellStyle name="常规 6 2 2 12 3 4" xfId="21525"/>
    <cellStyle name="常规 6 2 2 12 3 5" xfId="21526"/>
    <cellStyle name="常规 6 2 2 12 3 6" xfId="21527"/>
    <cellStyle name="常规 6 2 2 12 4" xfId="21528"/>
    <cellStyle name="常规 6 2 2 12 5" xfId="21529"/>
    <cellStyle name="常规 6 2 2 12 6" xfId="21530"/>
    <cellStyle name="常规 6 2 2 12 7" xfId="21531"/>
    <cellStyle name="常规 6 2 2 12 8" xfId="21532"/>
    <cellStyle name="常规 6 2 2 13" xfId="21533"/>
    <cellStyle name="常规 6 2 2 13 2" xfId="21534"/>
    <cellStyle name="常规 6 2 2 13 2 2" xfId="21535"/>
    <cellStyle name="常规 6 2 2 13 2 2 2" xfId="21536"/>
    <cellStyle name="常规 6 2 2 13 2 2 3" xfId="21537"/>
    <cellStyle name="常规 6 2 2 13 2 2 4" xfId="21538"/>
    <cellStyle name="常规 6 2 2 13 2 2 5" xfId="21539"/>
    <cellStyle name="常规 6 2 2 13 2 2 6" xfId="21540"/>
    <cellStyle name="常规 6 2 2 13 2 3" xfId="21541"/>
    <cellStyle name="常规 6 2 2 13 2 4" xfId="21542"/>
    <cellStyle name="常规 6 2 2 13 2 5" xfId="21543"/>
    <cellStyle name="常规 6 2 2 13 2 6" xfId="21544"/>
    <cellStyle name="常规 6 2 2 13 2 7" xfId="21545"/>
    <cellStyle name="常规 6 2 2 13 3" xfId="21546"/>
    <cellStyle name="常规 6 2 2 13 3 2" xfId="21547"/>
    <cellStyle name="常规 6 2 2 13 3 3" xfId="21548"/>
    <cellStyle name="常规 6 2 2 13 3 4" xfId="21549"/>
    <cellStyle name="常规 6 2 2 13 3 5" xfId="21550"/>
    <cellStyle name="常规 6 2 2 13 3 6" xfId="21551"/>
    <cellStyle name="常规 6 2 2 13 4" xfId="21552"/>
    <cellStyle name="常规 6 2 2 13 5" xfId="21553"/>
    <cellStyle name="常规 6 2 2 13 6" xfId="21554"/>
    <cellStyle name="常规 6 2 2 13 7" xfId="21555"/>
    <cellStyle name="常规 6 2 2 13 8" xfId="21556"/>
    <cellStyle name="常规 6 2 2 14" xfId="21557"/>
    <cellStyle name="常规 6 2 2 14 2" xfId="21558"/>
    <cellStyle name="常规 6 2 2 14 2 2" xfId="21559"/>
    <cellStyle name="常规 6 2 2 14 2 2 2" xfId="21560"/>
    <cellStyle name="常规 6 2 2 14 2 2 3" xfId="21561"/>
    <cellStyle name="常规 6 2 2 14 2 2 4" xfId="21562"/>
    <cellStyle name="常规 6 2 2 14 2 2 5" xfId="21563"/>
    <cellStyle name="常规 6 2 2 14 2 2 6" xfId="21564"/>
    <cellStyle name="常规 6 2 2 14 2 3" xfId="21565"/>
    <cellStyle name="常规 6 2 2 14 2 4" xfId="21566"/>
    <cellStyle name="常规 6 2 2 14 2 5" xfId="21567"/>
    <cellStyle name="常规 6 2 2 14 2 6" xfId="21568"/>
    <cellStyle name="常规 6 2 2 14 2 7" xfId="21569"/>
    <cellStyle name="常规 6 2 2 14 3" xfId="21570"/>
    <cellStyle name="常规 6 2 2 14 3 2" xfId="21571"/>
    <cellStyle name="常规 6 2 2 14 3 3" xfId="21572"/>
    <cellStyle name="常规 6 2 2 14 3 4" xfId="21573"/>
    <cellStyle name="常规 6 2 2 14 3 5" xfId="21574"/>
    <cellStyle name="常规 6 2 2 14 3 6" xfId="21575"/>
    <cellStyle name="常规 6 2 2 14 4" xfId="21576"/>
    <cellStyle name="常规 6 2 2 14 5" xfId="21577"/>
    <cellStyle name="常规 6 2 2 14 6" xfId="21578"/>
    <cellStyle name="常规 6 2 2 14 7" xfId="21579"/>
    <cellStyle name="常规 6 2 2 14 8" xfId="21580"/>
    <cellStyle name="常规 6 2 2 15" xfId="21581"/>
    <cellStyle name="常规 6 2 2 15 2" xfId="21582"/>
    <cellStyle name="常规 6 2 2 15 2 2" xfId="21583"/>
    <cellStyle name="常规 6 2 2 15 2 3" xfId="21584"/>
    <cellStyle name="常规 6 2 2 15 2 4" xfId="21585"/>
    <cellStyle name="常规 6 2 2 15 2 5" xfId="21586"/>
    <cellStyle name="常规 6 2 2 15 2 6" xfId="21587"/>
    <cellStyle name="常规 6 2 2 15 3" xfId="21588"/>
    <cellStyle name="常规 6 2 2 15 4" xfId="21589"/>
    <cellStyle name="常规 6 2 2 15 5" xfId="21590"/>
    <cellStyle name="常规 6 2 2 15 6" xfId="21591"/>
    <cellStyle name="常规 6 2 2 15 7" xfId="21592"/>
    <cellStyle name="常规 6 2 2 16" xfId="21593"/>
    <cellStyle name="常规 6 2 2 16 2" xfId="21594"/>
    <cellStyle name="常规 6 2 2 16 2 2" xfId="21595"/>
    <cellStyle name="常规 6 2 2 16 2 3" xfId="21596"/>
    <cellStyle name="常规 6 2 2 16 2 4" xfId="21597"/>
    <cellStyle name="常规 6 2 2 16 2 5" xfId="21598"/>
    <cellStyle name="常规 6 2 2 16 2 6" xfId="21599"/>
    <cellStyle name="常规 6 2 2 16 3" xfId="21600"/>
    <cellStyle name="常规 6 2 2 16 4" xfId="21601"/>
    <cellStyle name="常规 6 2 2 16 5" xfId="21602"/>
    <cellStyle name="常规 6 2 2 16 6" xfId="21603"/>
    <cellStyle name="常规 6 2 2 16 7" xfId="21604"/>
    <cellStyle name="常规 6 2 2 17" xfId="21605"/>
    <cellStyle name="常规 6 2 2 17 2" xfId="21606"/>
    <cellStyle name="常规 6 2 2 17 2 2" xfId="21607"/>
    <cellStyle name="常规 6 2 2 17 2 3" xfId="21608"/>
    <cellStyle name="常规 6 2 2 17 2 4" xfId="21609"/>
    <cellStyle name="常规 6 2 2 17 2 5" xfId="21610"/>
    <cellStyle name="常规 6 2 2 17 2 6" xfId="21611"/>
    <cellStyle name="常规 6 2 2 17 3" xfId="21612"/>
    <cellStyle name="常规 6 2 2 17 4" xfId="21613"/>
    <cellStyle name="常规 6 2 2 17 5" xfId="21614"/>
    <cellStyle name="常规 6 2 2 17 6" xfId="21615"/>
    <cellStyle name="常规 6 2 2 17 7" xfId="21616"/>
    <cellStyle name="常规 6 2 2 18" xfId="21617"/>
    <cellStyle name="常规 6 2 2 18 2" xfId="21618"/>
    <cellStyle name="常规 6 2 2 18 2 2" xfId="21619"/>
    <cellStyle name="常规 6 2 2 18 2 3" xfId="21620"/>
    <cellStyle name="常规 6 2 2 18 2 4" xfId="21621"/>
    <cellStyle name="常规 6 2 2 18 2 5" xfId="21622"/>
    <cellStyle name="常规 6 2 2 18 2 6" xfId="21623"/>
    <cellStyle name="常规 6 2 2 18 3" xfId="21624"/>
    <cellStyle name="常规 6 2 2 18 4" xfId="21625"/>
    <cellStyle name="常规 6 2 2 18 5" xfId="21626"/>
    <cellStyle name="常规 6 2 2 18 6" xfId="21627"/>
    <cellStyle name="常规 6 2 2 18 7" xfId="21628"/>
    <cellStyle name="常规 6 2 2 19" xfId="21629"/>
    <cellStyle name="常规 6 2 2 19 2" xfId="21630"/>
    <cellStyle name="常规 6 2 2 19 3" xfId="21631"/>
    <cellStyle name="常规 6 2 2 19 4" xfId="21632"/>
    <cellStyle name="常规 6 2 2 19 5" xfId="21633"/>
    <cellStyle name="常规 6 2 2 19 6" xfId="21634"/>
    <cellStyle name="常规 6 2 2 2" xfId="21635"/>
    <cellStyle name="常规 6 2 2 2 10" xfId="21636"/>
    <cellStyle name="常规 6 2 2 2 10 2" xfId="21637"/>
    <cellStyle name="常规 6 2 2 2 10 2 2" xfId="21638"/>
    <cellStyle name="常规 6 2 2 2 10 2 3" xfId="21639"/>
    <cellStyle name="常规 6 2 2 2 10 2 4" xfId="21640"/>
    <cellStyle name="常规 6 2 2 2 10 2 5" xfId="21641"/>
    <cellStyle name="常规 6 2 2 2 10 2 6" xfId="21642"/>
    <cellStyle name="常规 6 2 2 2 10 3" xfId="21643"/>
    <cellStyle name="常规 6 2 2 2 10 4" xfId="21644"/>
    <cellStyle name="常规 6 2 2 2 10 5" xfId="21645"/>
    <cellStyle name="常规 6 2 2 2 10 6" xfId="21646"/>
    <cellStyle name="常规 6 2 2 2 10 7" xfId="21647"/>
    <cellStyle name="常规 6 2 2 2 11" xfId="21648"/>
    <cellStyle name="常规 6 2 2 2 11 2" xfId="21649"/>
    <cellStyle name="常规 6 2 2 2 11 2 2" xfId="21650"/>
    <cellStyle name="常规 6 2 2 2 11 2 3" xfId="21651"/>
    <cellStyle name="常规 6 2 2 2 11 2 4" xfId="21652"/>
    <cellStyle name="常规 6 2 2 2 11 2 5" xfId="21653"/>
    <cellStyle name="常规 6 2 2 2 11 2 6" xfId="21654"/>
    <cellStyle name="常规 6 2 2 2 11 3" xfId="21655"/>
    <cellStyle name="常规 6 2 2 2 11 4" xfId="21656"/>
    <cellStyle name="常规 6 2 2 2 11 5" xfId="21657"/>
    <cellStyle name="常规 6 2 2 2 11 6" xfId="21658"/>
    <cellStyle name="常规 6 2 2 2 11 7" xfId="21659"/>
    <cellStyle name="常规 6 2 2 2 12" xfId="21660"/>
    <cellStyle name="常规 6 2 2 2 12 2" xfId="21661"/>
    <cellStyle name="常规 6 2 2 2 12 3" xfId="21662"/>
    <cellStyle name="常规 6 2 2 2 12 4" xfId="21663"/>
    <cellStyle name="常规 6 2 2 2 12 5" xfId="21664"/>
    <cellStyle name="常规 6 2 2 2 12 6" xfId="21665"/>
    <cellStyle name="常规 6 2 2 2 13" xfId="21666"/>
    <cellStyle name="常规 6 2 2 2 14" xfId="21667"/>
    <cellStyle name="常规 6 2 2 2 15" xfId="21668"/>
    <cellStyle name="常规 6 2 2 2 16" xfId="21669"/>
    <cellStyle name="常规 6 2 2 2 17" xfId="21670"/>
    <cellStyle name="常规 6 2 2 2 18" xfId="21671"/>
    <cellStyle name="常规 6 2 2 2 19" xfId="21672"/>
    <cellStyle name="常规 6 2 2 2 2" xfId="21673"/>
    <cellStyle name="常规 6 2 2 2 2 2" xfId="21674"/>
    <cellStyle name="常规 6 2 2 2 2 2 2" xfId="21675"/>
    <cellStyle name="常规 6 2 2 2 2 3" xfId="21676"/>
    <cellStyle name="常规 6 2 2 2 2 4" xfId="21677"/>
    <cellStyle name="常规 6 2 2 2 2 5" xfId="21678"/>
    <cellStyle name="常规 6 2 2 2 3" xfId="21679"/>
    <cellStyle name="常规 6 2 2 2 3 2" xfId="21680"/>
    <cellStyle name="常规 6 2 2 2 3 2 2" xfId="21681"/>
    <cellStyle name="常规 6 2 2 2 3 2 3" xfId="21682"/>
    <cellStyle name="常规 6 2 2 2 3 2 4" xfId="21683"/>
    <cellStyle name="常规 6 2 2 2 3 2 5" xfId="21684"/>
    <cellStyle name="常规 6 2 2 2 3 2 6" xfId="21685"/>
    <cellStyle name="常规 6 2 2 2 3 2 7" xfId="21686"/>
    <cellStyle name="常规 6 2 2 2 3 2 8" xfId="21687"/>
    <cellStyle name="常规 6 2 2 2 3 3" xfId="21688"/>
    <cellStyle name="常规 6 2 2 2 3 3 2" xfId="21689"/>
    <cellStyle name="常规 6 2 2 2 3 4" xfId="21690"/>
    <cellStyle name="常规 6 2 2 2 3 4 2" xfId="21691"/>
    <cellStyle name="常规 6 2 2 2 3 5" xfId="21692"/>
    <cellStyle name="常规 6 2 2 2 3 6" xfId="21693"/>
    <cellStyle name="常规 6 2 2 2 3 7" xfId="21694"/>
    <cellStyle name="常规 6 2 2 2 3 8" xfId="21695"/>
    <cellStyle name="常规 6 2 2 2 4" xfId="21696"/>
    <cellStyle name="常规 6 2 2 2 4 2" xfId="21697"/>
    <cellStyle name="常规 6 2 2 2 4 2 2" xfId="21698"/>
    <cellStyle name="常规 6 2 2 2 4 2 3" xfId="21699"/>
    <cellStyle name="常规 6 2 2 2 4 2 4" xfId="21700"/>
    <cellStyle name="常规 6 2 2 2 4 2 5" xfId="21701"/>
    <cellStyle name="常规 6 2 2 2 4 2 6" xfId="21702"/>
    <cellStyle name="常规 6 2 2 2 4 3" xfId="21703"/>
    <cellStyle name="常规 6 2 2 2 4 4" xfId="21704"/>
    <cellStyle name="常规 6 2 2 2 4 5" xfId="21705"/>
    <cellStyle name="常规 6 2 2 2 4 6" xfId="21706"/>
    <cellStyle name="常规 6 2 2 2 4 7" xfId="21707"/>
    <cellStyle name="常规 6 2 2 2 4 8" xfId="21708"/>
    <cellStyle name="常规 6 2 2 2 4 9" xfId="21709"/>
    <cellStyle name="常规 6 2 2 2 5" xfId="21710"/>
    <cellStyle name="常规 6 2 2 2 5 2" xfId="21711"/>
    <cellStyle name="常规 6 2 2 2 5 2 2" xfId="21712"/>
    <cellStyle name="常规 6 2 2 2 5 2 3" xfId="21713"/>
    <cellStyle name="常规 6 2 2 2 5 2 4" xfId="21714"/>
    <cellStyle name="常规 6 2 2 2 5 2 5" xfId="21715"/>
    <cellStyle name="常规 6 2 2 2 5 2 6" xfId="21716"/>
    <cellStyle name="常规 6 2 2 2 5 3" xfId="21717"/>
    <cellStyle name="常规 6 2 2 2 5 4" xfId="21718"/>
    <cellStyle name="常规 6 2 2 2 5 5" xfId="21719"/>
    <cellStyle name="常规 6 2 2 2 5 6" xfId="21720"/>
    <cellStyle name="常规 6 2 2 2 5 7" xfId="21721"/>
    <cellStyle name="常规 6 2 2 2 5 8" xfId="21722"/>
    <cellStyle name="常规 6 2 2 2 6" xfId="21723"/>
    <cellStyle name="常规 6 2 2 2 6 2" xfId="21724"/>
    <cellStyle name="常规 6 2 2 2 6 2 2" xfId="21725"/>
    <cellStyle name="常规 6 2 2 2 6 2 3" xfId="21726"/>
    <cellStyle name="常规 6 2 2 2 6 2 4" xfId="21727"/>
    <cellStyle name="常规 6 2 2 2 6 2 5" xfId="21728"/>
    <cellStyle name="常规 6 2 2 2 6 2 6" xfId="21729"/>
    <cellStyle name="常规 6 2 2 2 6 3" xfId="21730"/>
    <cellStyle name="常规 6 2 2 2 6 4" xfId="21731"/>
    <cellStyle name="常规 6 2 2 2 6 5" xfId="21732"/>
    <cellStyle name="常规 6 2 2 2 6 6" xfId="21733"/>
    <cellStyle name="常规 6 2 2 2 6 7" xfId="21734"/>
    <cellStyle name="常规 6 2 2 2 6 8" xfId="21735"/>
    <cellStyle name="常规 6 2 2 2 7" xfId="21736"/>
    <cellStyle name="常规 6 2 2 2 7 2" xfId="21737"/>
    <cellStyle name="常规 6 2 2 2 7 2 2" xfId="21738"/>
    <cellStyle name="常规 6 2 2 2 7 2 3" xfId="21739"/>
    <cellStyle name="常规 6 2 2 2 7 2 4" xfId="21740"/>
    <cellStyle name="常规 6 2 2 2 7 2 5" xfId="21741"/>
    <cellStyle name="常规 6 2 2 2 7 2 6" xfId="21742"/>
    <cellStyle name="常规 6 2 2 2 7 3" xfId="21743"/>
    <cellStyle name="常规 6 2 2 2 7 4" xfId="21744"/>
    <cellStyle name="常规 6 2 2 2 7 5" xfId="21745"/>
    <cellStyle name="常规 6 2 2 2 7 6" xfId="21746"/>
    <cellStyle name="常规 6 2 2 2 7 7" xfId="21747"/>
    <cellStyle name="常规 6 2 2 2 7 8" xfId="21748"/>
    <cellStyle name="常规 6 2 2 2 8" xfId="21749"/>
    <cellStyle name="常规 6 2 2 2 8 2" xfId="21750"/>
    <cellStyle name="常规 6 2 2 2 8 2 2" xfId="21751"/>
    <cellStyle name="常规 6 2 2 2 8 2 3" xfId="21752"/>
    <cellStyle name="常规 6 2 2 2 8 2 4" xfId="21753"/>
    <cellStyle name="常规 6 2 2 2 8 2 5" xfId="21754"/>
    <cellStyle name="常规 6 2 2 2 8 2 6" xfId="21755"/>
    <cellStyle name="常规 6 2 2 2 8 3" xfId="21756"/>
    <cellStyle name="常规 6 2 2 2 8 4" xfId="21757"/>
    <cellStyle name="常规 6 2 2 2 8 5" xfId="21758"/>
    <cellStyle name="常规 6 2 2 2 8 6" xfId="21759"/>
    <cellStyle name="常规 6 2 2 2 8 7" xfId="21760"/>
    <cellStyle name="常规 6 2 2 2 9" xfId="21761"/>
    <cellStyle name="常规 6 2 2 2 9 2" xfId="21762"/>
    <cellStyle name="常规 6 2 2 2 9 2 2" xfId="21763"/>
    <cellStyle name="常规 6 2 2 2 9 2 3" xfId="21764"/>
    <cellStyle name="常规 6 2 2 2 9 2 4" xfId="21765"/>
    <cellStyle name="常规 6 2 2 2 9 2 5" xfId="21766"/>
    <cellStyle name="常规 6 2 2 2 9 2 6" xfId="21767"/>
    <cellStyle name="常规 6 2 2 2 9 3" xfId="21768"/>
    <cellStyle name="常规 6 2 2 2 9 4" xfId="21769"/>
    <cellStyle name="常规 6 2 2 2 9 5" xfId="21770"/>
    <cellStyle name="常规 6 2 2 2 9 6" xfId="21771"/>
    <cellStyle name="常规 6 2 2 2 9 7" xfId="21772"/>
    <cellStyle name="常规 6 2 2 20" xfId="21773"/>
    <cellStyle name="常规 6 2 2 21" xfId="21774"/>
    <cellStyle name="常规 6 2 2 22" xfId="21775"/>
    <cellStyle name="常规 6 2 2 23" xfId="21776"/>
    <cellStyle name="常规 6 2 2 24" xfId="21777"/>
    <cellStyle name="常规 6 2 2 25" xfId="21778"/>
    <cellStyle name="常规 6 2 2 26" xfId="21779"/>
    <cellStyle name="常规 6 2 2 3" xfId="21780"/>
    <cellStyle name="常规 6 2 2 3 10" xfId="21781"/>
    <cellStyle name="常规 6 2 2 3 11" xfId="21782"/>
    <cellStyle name="常规 6 2 2 3 2" xfId="21783"/>
    <cellStyle name="常规 6 2 2 3 2 2" xfId="21784"/>
    <cellStyle name="常规 6 2 2 3 2 2 2" xfId="21785"/>
    <cellStyle name="常规 6 2 2 3 2 2 3" xfId="21786"/>
    <cellStyle name="常规 6 2 2 3 2 2 4" xfId="21787"/>
    <cellStyle name="常规 6 2 2 3 2 2 5" xfId="21788"/>
    <cellStyle name="常规 6 2 2 3 2 2 6" xfId="21789"/>
    <cellStyle name="常规 6 2 2 3 2 3" xfId="21790"/>
    <cellStyle name="常规 6 2 2 3 2 4" xfId="21791"/>
    <cellStyle name="常规 6 2 2 3 2 5" xfId="21792"/>
    <cellStyle name="常规 6 2 2 3 2 6" xfId="21793"/>
    <cellStyle name="常规 6 2 2 3 2 7" xfId="21794"/>
    <cellStyle name="常规 6 2 2 3 2 8" xfId="21795"/>
    <cellStyle name="常规 6 2 2 3 2 9" xfId="21796"/>
    <cellStyle name="常规 6 2 2 3 3" xfId="21797"/>
    <cellStyle name="常规 6 2 2 3 3 2" xfId="21798"/>
    <cellStyle name="常规 6 2 2 3 3 2 2" xfId="21799"/>
    <cellStyle name="常规 6 2 2 3 3 2 3" xfId="21800"/>
    <cellStyle name="常规 6 2 2 3 3 2 4" xfId="21801"/>
    <cellStyle name="常规 6 2 2 3 3 2 5" xfId="21802"/>
    <cellStyle name="常规 6 2 2 3 3 2 6" xfId="21803"/>
    <cellStyle name="常规 6 2 2 3 3 3" xfId="21804"/>
    <cellStyle name="常规 6 2 2 3 3 4" xfId="21805"/>
    <cellStyle name="常规 6 2 2 3 3 5" xfId="21806"/>
    <cellStyle name="常规 6 2 2 3 3 6" xfId="21807"/>
    <cellStyle name="常规 6 2 2 3 3 7" xfId="21808"/>
    <cellStyle name="常规 6 2 2 3 3 8" xfId="21809"/>
    <cellStyle name="常规 6 2 2 3 4" xfId="21810"/>
    <cellStyle name="常规 6 2 2 3 4 2" xfId="21811"/>
    <cellStyle name="常规 6 2 2 3 4 2 2" xfId="21812"/>
    <cellStyle name="常规 6 2 2 3 4 2 3" xfId="21813"/>
    <cellStyle name="常规 6 2 2 3 4 2 4" xfId="21814"/>
    <cellStyle name="常规 6 2 2 3 4 2 5" xfId="21815"/>
    <cellStyle name="常规 6 2 2 3 4 2 6" xfId="21816"/>
    <cellStyle name="常规 6 2 2 3 4 3" xfId="21817"/>
    <cellStyle name="常规 6 2 2 3 4 4" xfId="21818"/>
    <cellStyle name="常规 6 2 2 3 4 5" xfId="21819"/>
    <cellStyle name="常规 6 2 2 3 4 6" xfId="21820"/>
    <cellStyle name="常规 6 2 2 3 4 7" xfId="21821"/>
    <cellStyle name="常规 6 2 2 3 4 8" xfId="21822"/>
    <cellStyle name="常规 6 2 2 3 5" xfId="21823"/>
    <cellStyle name="常规 6 2 2 3 5 2" xfId="21824"/>
    <cellStyle name="常规 6 2 2 3 5 2 2" xfId="21825"/>
    <cellStyle name="常规 6 2 2 3 5 2 3" xfId="21826"/>
    <cellStyle name="常规 6 2 2 3 5 2 4" xfId="21827"/>
    <cellStyle name="常规 6 2 2 3 5 2 5" xfId="21828"/>
    <cellStyle name="常规 6 2 2 3 5 2 6" xfId="21829"/>
    <cellStyle name="常规 6 2 2 3 5 3" xfId="21830"/>
    <cellStyle name="常规 6 2 2 3 5 4" xfId="21831"/>
    <cellStyle name="常规 6 2 2 3 5 5" xfId="21832"/>
    <cellStyle name="常规 6 2 2 3 5 6" xfId="21833"/>
    <cellStyle name="常规 6 2 2 3 5 7" xfId="21834"/>
    <cellStyle name="常规 6 2 2 3 6" xfId="21835"/>
    <cellStyle name="常规 6 2 2 3 6 2" xfId="21836"/>
    <cellStyle name="常规 6 2 2 3 6 2 2" xfId="21837"/>
    <cellStyle name="常规 6 2 2 3 6 2 3" xfId="21838"/>
    <cellStyle name="常规 6 2 2 3 6 2 4" xfId="21839"/>
    <cellStyle name="常规 6 2 2 3 6 2 5" xfId="21840"/>
    <cellStyle name="常规 6 2 2 3 6 2 6" xfId="21841"/>
    <cellStyle name="常规 6 2 2 3 6 3" xfId="21842"/>
    <cellStyle name="常规 6 2 2 3 6 4" xfId="21843"/>
    <cellStyle name="常规 6 2 2 3 6 5" xfId="21844"/>
    <cellStyle name="常规 6 2 2 3 6 6" xfId="21845"/>
    <cellStyle name="常规 6 2 2 3 6 7" xfId="21846"/>
    <cellStyle name="常规 6 2 2 3 7" xfId="21847"/>
    <cellStyle name="常规 6 2 2 3 7 2" xfId="21848"/>
    <cellStyle name="常规 6 2 2 3 7 2 2" xfId="21849"/>
    <cellStyle name="常规 6 2 2 3 7 2 3" xfId="21850"/>
    <cellStyle name="常规 6 2 2 3 7 2 4" xfId="21851"/>
    <cellStyle name="常规 6 2 2 3 7 2 5" xfId="21852"/>
    <cellStyle name="常规 6 2 2 3 7 2 6" xfId="21853"/>
    <cellStyle name="常规 6 2 2 3 7 3" xfId="21854"/>
    <cellStyle name="常规 6 2 2 3 7 4" xfId="21855"/>
    <cellStyle name="常规 6 2 2 3 7 5" xfId="21856"/>
    <cellStyle name="常规 6 2 2 3 7 6" xfId="21857"/>
    <cellStyle name="常规 6 2 2 3 7 7" xfId="21858"/>
    <cellStyle name="常规 6 2 2 3 8" xfId="21859"/>
    <cellStyle name="常规 6 2 2 3 8 2" xfId="21860"/>
    <cellStyle name="常规 6 2 2 3 8 2 2" xfId="21861"/>
    <cellStyle name="常规 6 2 2 3 8 2 3" xfId="21862"/>
    <cellStyle name="常规 6 2 2 3 8 2 4" xfId="21863"/>
    <cellStyle name="常规 6 2 2 3 8 2 5" xfId="21864"/>
    <cellStyle name="常规 6 2 2 3 8 2 6" xfId="21865"/>
    <cellStyle name="常规 6 2 2 3 8 3" xfId="21866"/>
    <cellStyle name="常规 6 2 2 3 8 4" xfId="21867"/>
    <cellStyle name="常规 6 2 2 3 8 5" xfId="21868"/>
    <cellStyle name="常规 6 2 2 3 8 6" xfId="21869"/>
    <cellStyle name="常规 6 2 2 3 8 7" xfId="21870"/>
    <cellStyle name="常规 6 2 2 3 9" xfId="21871"/>
    <cellStyle name="常规 6 2 2 3 9 2" xfId="21872"/>
    <cellStyle name="常规 6 2 2 3 9 2 2" xfId="21873"/>
    <cellStyle name="常规 6 2 2 3 9 2 3" xfId="21874"/>
    <cellStyle name="常规 6 2 2 3 9 2 4" xfId="21875"/>
    <cellStyle name="常规 6 2 2 3 9 2 5" xfId="21876"/>
    <cellStyle name="常规 6 2 2 3 9 2 6" xfId="21877"/>
    <cellStyle name="常规 6 2 2 3 9 3" xfId="21878"/>
    <cellStyle name="常规 6 2 2 3 9 4" xfId="21879"/>
    <cellStyle name="常规 6 2 2 3 9 5" xfId="21880"/>
    <cellStyle name="常规 6 2 2 3 9 6" xfId="21881"/>
    <cellStyle name="常规 6 2 2 3 9 7" xfId="21882"/>
    <cellStyle name="常规 6 2 2 4" xfId="21883"/>
    <cellStyle name="常规 6 2 2 4 10" xfId="21884"/>
    <cellStyle name="常规 6 2 2 4 10 2" xfId="21885"/>
    <cellStyle name="常规 6 2 2 4 10 3" xfId="21886"/>
    <cellStyle name="常规 6 2 2 4 10 4" xfId="21887"/>
    <cellStyle name="常规 6 2 2 4 10 5" xfId="21888"/>
    <cellStyle name="常规 6 2 2 4 10 6" xfId="21889"/>
    <cellStyle name="常规 6 2 2 4 11" xfId="21890"/>
    <cellStyle name="常规 6 2 2 4 12" xfId="21891"/>
    <cellStyle name="常规 6 2 2 4 13" xfId="21892"/>
    <cellStyle name="常规 6 2 2 4 14" xfId="21893"/>
    <cellStyle name="常规 6 2 2 4 15" xfId="21894"/>
    <cellStyle name="常规 6 2 2 4 16" xfId="21895"/>
    <cellStyle name="常规 6 2 2 4 2" xfId="21896"/>
    <cellStyle name="常规 6 2 2 4 2 2" xfId="21897"/>
    <cellStyle name="常规 6 2 2 4 2 2 2" xfId="21898"/>
    <cellStyle name="常规 6 2 2 4 2 2 3" xfId="21899"/>
    <cellStyle name="常规 6 2 2 4 2 2 4" xfId="21900"/>
    <cellStyle name="常规 6 2 2 4 2 2 5" xfId="21901"/>
    <cellStyle name="常规 6 2 2 4 2 2 6" xfId="21902"/>
    <cellStyle name="常规 6 2 2 4 2 3" xfId="21903"/>
    <cellStyle name="常规 6 2 2 4 2 4" xfId="21904"/>
    <cellStyle name="常规 6 2 2 4 2 5" xfId="21905"/>
    <cellStyle name="常规 6 2 2 4 2 6" xfId="21906"/>
    <cellStyle name="常规 6 2 2 4 2 7" xfId="21907"/>
    <cellStyle name="常规 6 2 2 4 2 8" xfId="21908"/>
    <cellStyle name="常规 6 2 2 4 2 9" xfId="21909"/>
    <cellStyle name="常规 6 2 2 4 3" xfId="21910"/>
    <cellStyle name="常规 6 2 2 4 3 2" xfId="21911"/>
    <cellStyle name="常规 6 2 2 4 3 2 2" xfId="21912"/>
    <cellStyle name="常规 6 2 2 4 3 2 3" xfId="21913"/>
    <cellStyle name="常规 6 2 2 4 3 2 4" xfId="21914"/>
    <cellStyle name="常规 6 2 2 4 3 2 5" xfId="21915"/>
    <cellStyle name="常规 6 2 2 4 3 2 6" xfId="21916"/>
    <cellStyle name="常规 6 2 2 4 3 3" xfId="21917"/>
    <cellStyle name="常规 6 2 2 4 3 4" xfId="21918"/>
    <cellStyle name="常规 6 2 2 4 3 5" xfId="21919"/>
    <cellStyle name="常规 6 2 2 4 3 6" xfId="21920"/>
    <cellStyle name="常规 6 2 2 4 3 7" xfId="21921"/>
    <cellStyle name="常规 6 2 2 4 3 8" xfId="21922"/>
    <cellStyle name="常规 6 2 2 4 4" xfId="21923"/>
    <cellStyle name="常规 6 2 2 4 4 2" xfId="21924"/>
    <cellStyle name="常规 6 2 2 4 4 2 2" xfId="21925"/>
    <cellStyle name="常规 6 2 2 4 4 2 3" xfId="21926"/>
    <cellStyle name="常规 6 2 2 4 4 2 4" xfId="21927"/>
    <cellStyle name="常规 6 2 2 4 4 2 5" xfId="21928"/>
    <cellStyle name="常规 6 2 2 4 4 2 6" xfId="21929"/>
    <cellStyle name="常规 6 2 2 4 4 3" xfId="21930"/>
    <cellStyle name="常规 6 2 2 4 4 4" xfId="21931"/>
    <cellStyle name="常规 6 2 2 4 4 5" xfId="21932"/>
    <cellStyle name="常规 6 2 2 4 4 6" xfId="21933"/>
    <cellStyle name="常规 6 2 2 4 4 7" xfId="21934"/>
    <cellStyle name="常规 6 2 2 4 4 8" xfId="21935"/>
    <cellStyle name="常规 6 2 2 4 5" xfId="21936"/>
    <cellStyle name="常规 6 2 2 4 5 2" xfId="21937"/>
    <cellStyle name="常规 6 2 2 4 5 2 2" xfId="21938"/>
    <cellStyle name="常规 6 2 2 4 5 2 3" xfId="21939"/>
    <cellStyle name="常规 6 2 2 4 5 2 4" xfId="21940"/>
    <cellStyle name="常规 6 2 2 4 5 2 5" xfId="21941"/>
    <cellStyle name="常规 6 2 2 4 5 2 6" xfId="21942"/>
    <cellStyle name="常规 6 2 2 4 5 3" xfId="21943"/>
    <cellStyle name="常规 6 2 2 4 5 4" xfId="21944"/>
    <cellStyle name="常规 6 2 2 4 5 5" xfId="21945"/>
    <cellStyle name="常规 6 2 2 4 5 6" xfId="21946"/>
    <cellStyle name="常规 6 2 2 4 5 7" xfId="21947"/>
    <cellStyle name="常规 6 2 2 4 6" xfId="21948"/>
    <cellStyle name="常规 6 2 2 4 6 2" xfId="21949"/>
    <cellStyle name="常规 6 2 2 4 6 2 2" xfId="21950"/>
    <cellStyle name="常规 6 2 2 4 6 2 3" xfId="21951"/>
    <cellStyle name="常规 6 2 2 4 6 2 4" xfId="21952"/>
    <cellStyle name="常规 6 2 2 4 6 2 5" xfId="21953"/>
    <cellStyle name="常规 6 2 2 4 6 2 6" xfId="21954"/>
    <cellStyle name="常规 6 2 2 4 6 3" xfId="21955"/>
    <cellStyle name="常规 6 2 2 4 6 4" xfId="21956"/>
    <cellStyle name="常规 6 2 2 4 6 5" xfId="21957"/>
    <cellStyle name="常规 6 2 2 4 6 6" xfId="21958"/>
    <cellStyle name="常规 6 2 2 4 6 7" xfId="21959"/>
    <cellStyle name="常规 6 2 2 4 7" xfId="21960"/>
    <cellStyle name="常规 6 2 2 4 7 2" xfId="21961"/>
    <cellStyle name="常规 6 2 2 4 7 2 2" xfId="21962"/>
    <cellStyle name="常规 6 2 2 4 7 2 3" xfId="21963"/>
    <cellStyle name="常规 6 2 2 4 7 2 4" xfId="21964"/>
    <cellStyle name="常规 6 2 2 4 7 2 5" xfId="21965"/>
    <cellStyle name="常规 6 2 2 4 7 2 6" xfId="21966"/>
    <cellStyle name="常规 6 2 2 4 7 3" xfId="21967"/>
    <cellStyle name="常规 6 2 2 4 7 4" xfId="21968"/>
    <cellStyle name="常规 6 2 2 4 7 5" xfId="21969"/>
    <cellStyle name="常规 6 2 2 4 7 6" xfId="21970"/>
    <cellStyle name="常规 6 2 2 4 7 7" xfId="21971"/>
    <cellStyle name="常规 6 2 2 4 8" xfId="21972"/>
    <cellStyle name="常规 6 2 2 4 8 2" xfId="21973"/>
    <cellStyle name="常规 6 2 2 4 8 2 2" xfId="21974"/>
    <cellStyle name="常规 6 2 2 4 8 2 3" xfId="21975"/>
    <cellStyle name="常规 6 2 2 4 8 2 4" xfId="21976"/>
    <cellStyle name="常规 6 2 2 4 8 2 5" xfId="21977"/>
    <cellStyle name="常规 6 2 2 4 8 2 6" xfId="21978"/>
    <cellStyle name="常规 6 2 2 4 8 3" xfId="21979"/>
    <cellStyle name="常规 6 2 2 4 8 4" xfId="21980"/>
    <cellStyle name="常规 6 2 2 4 8 5" xfId="21981"/>
    <cellStyle name="常规 6 2 2 4 8 6" xfId="21982"/>
    <cellStyle name="常规 6 2 2 4 8 7" xfId="21983"/>
    <cellStyle name="常规 6 2 2 4 9" xfId="21984"/>
    <cellStyle name="常规 6 2 2 4 9 2" xfId="21985"/>
    <cellStyle name="常规 6 2 2 4 9 2 2" xfId="21986"/>
    <cellStyle name="常规 6 2 2 4 9 2 3" xfId="21987"/>
    <cellStyle name="常规 6 2 2 4 9 2 4" xfId="21988"/>
    <cellStyle name="常规 6 2 2 4 9 2 5" xfId="21989"/>
    <cellStyle name="常规 6 2 2 4 9 2 6" xfId="21990"/>
    <cellStyle name="常规 6 2 2 4 9 3" xfId="21991"/>
    <cellStyle name="常规 6 2 2 4 9 4" xfId="21992"/>
    <cellStyle name="常规 6 2 2 4 9 5" xfId="21993"/>
    <cellStyle name="常规 6 2 2 4 9 6" xfId="21994"/>
    <cellStyle name="常规 6 2 2 4 9 7" xfId="21995"/>
    <cellStyle name="常规 6 2 2 5" xfId="21996"/>
    <cellStyle name="常规 6 2 2 5 10" xfId="21997"/>
    <cellStyle name="常规 6 2 2 5 11" xfId="21998"/>
    <cellStyle name="常规 6 2 2 5 12" xfId="21999"/>
    <cellStyle name="常规 6 2 2 5 13" xfId="22000"/>
    <cellStyle name="常规 6 2 2 5 14" xfId="22001"/>
    <cellStyle name="常规 6 2 2 5 15" xfId="22002"/>
    <cellStyle name="常规 6 2 2 5 16" xfId="22003"/>
    <cellStyle name="常规 6 2 2 5 2" xfId="22004"/>
    <cellStyle name="常规 6 2 2 5 2 2" xfId="22005"/>
    <cellStyle name="常规 6 2 2 5 2 2 2" xfId="22006"/>
    <cellStyle name="常规 6 2 2 5 2 2 3" xfId="22007"/>
    <cellStyle name="常规 6 2 2 5 2 2 4" xfId="22008"/>
    <cellStyle name="常规 6 2 2 5 2 2 5" xfId="22009"/>
    <cellStyle name="常规 6 2 2 5 2 2 6" xfId="22010"/>
    <cellStyle name="常规 6 2 2 5 2 3" xfId="22011"/>
    <cellStyle name="常规 6 2 2 5 2 4" xfId="22012"/>
    <cellStyle name="常规 6 2 2 5 2 5" xfId="22013"/>
    <cellStyle name="常规 6 2 2 5 2 6" xfId="22014"/>
    <cellStyle name="常规 6 2 2 5 2 7" xfId="22015"/>
    <cellStyle name="常规 6 2 2 5 3" xfId="22016"/>
    <cellStyle name="常规 6 2 2 5 3 2" xfId="22017"/>
    <cellStyle name="常规 6 2 2 5 3 2 2" xfId="22018"/>
    <cellStyle name="常规 6 2 2 5 3 2 3" xfId="22019"/>
    <cellStyle name="常规 6 2 2 5 3 2 4" xfId="22020"/>
    <cellStyle name="常规 6 2 2 5 3 2 5" xfId="22021"/>
    <cellStyle name="常规 6 2 2 5 3 2 6" xfId="22022"/>
    <cellStyle name="常规 6 2 2 5 3 3" xfId="22023"/>
    <cellStyle name="常规 6 2 2 5 3 4" xfId="22024"/>
    <cellStyle name="常规 6 2 2 5 3 5" xfId="22025"/>
    <cellStyle name="常规 6 2 2 5 3 6" xfId="22026"/>
    <cellStyle name="常规 6 2 2 5 3 7" xfId="22027"/>
    <cellStyle name="常规 6 2 2 5 4" xfId="22028"/>
    <cellStyle name="常规 6 2 2 5 4 2" xfId="22029"/>
    <cellStyle name="常规 6 2 2 5 4 2 2" xfId="22030"/>
    <cellStyle name="常规 6 2 2 5 4 2 3" xfId="22031"/>
    <cellStyle name="常规 6 2 2 5 4 2 4" xfId="22032"/>
    <cellStyle name="常规 6 2 2 5 4 2 5" xfId="22033"/>
    <cellStyle name="常规 6 2 2 5 4 2 6" xfId="22034"/>
    <cellStyle name="常规 6 2 2 5 4 3" xfId="22035"/>
    <cellStyle name="常规 6 2 2 5 4 4" xfId="22036"/>
    <cellStyle name="常规 6 2 2 5 4 5" xfId="22037"/>
    <cellStyle name="常规 6 2 2 5 4 6" xfId="22038"/>
    <cellStyle name="常规 6 2 2 5 4 7" xfId="22039"/>
    <cellStyle name="常规 6 2 2 5 5" xfId="22040"/>
    <cellStyle name="常规 6 2 2 5 5 2" xfId="22041"/>
    <cellStyle name="常规 6 2 2 5 5 2 2" xfId="22042"/>
    <cellStyle name="常规 6 2 2 5 5 2 3" xfId="22043"/>
    <cellStyle name="常规 6 2 2 5 5 2 4" xfId="22044"/>
    <cellStyle name="常规 6 2 2 5 5 2 5" xfId="22045"/>
    <cellStyle name="常规 6 2 2 5 5 2 6" xfId="22046"/>
    <cellStyle name="常规 6 2 2 5 5 3" xfId="22047"/>
    <cellStyle name="常规 6 2 2 5 5 4" xfId="22048"/>
    <cellStyle name="常规 6 2 2 5 5 5" xfId="22049"/>
    <cellStyle name="常规 6 2 2 5 5 6" xfId="22050"/>
    <cellStyle name="常规 6 2 2 5 5 7" xfId="22051"/>
    <cellStyle name="常规 6 2 2 5 6" xfId="22052"/>
    <cellStyle name="常规 6 2 2 5 6 2" xfId="22053"/>
    <cellStyle name="常规 6 2 2 5 6 2 2" xfId="22054"/>
    <cellStyle name="常规 6 2 2 5 6 2 3" xfId="22055"/>
    <cellStyle name="常规 6 2 2 5 6 2 4" xfId="22056"/>
    <cellStyle name="常规 6 2 2 5 6 2 5" xfId="22057"/>
    <cellStyle name="常规 6 2 2 5 6 2 6" xfId="22058"/>
    <cellStyle name="常规 6 2 2 5 6 3" xfId="22059"/>
    <cellStyle name="常规 6 2 2 5 6 4" xfId="22060"/>
    <cellStyle name="常规 6 2 2 5 6 5" xfId="22061"/>
    <cellStyle name="常规 6 2 2 5 6 6" xfId="22062"/>
    <cellStyle name="常规 6 2 2 5 6 7" xfId="22063"/>
    <cellStyle name="常规 6 2 2 5 7" xfId="22064"/>
    <cellStyle name="常规 6 2 2 5 7 2" xfId="22065"/>
    <cellStyle name="常规 6 2 2 5 7 2 2" xfId="22066"/>
    <cellStyle name="常规 6 2 2 5 7 2 3" xfId="22067"/>
    <cellStyle name="常规 6 2 2 5 7 2 4" xfId="22068"/>
    <cellStyle name="常规 6 2 2 5 7 2 5" xfId="22069"/>
    <cellStyle name="常规 6 2 2 5 7 2 6" xfId="22070"/>
    <cellStyle name="常规 6 2 2 5 7 3" xfId="22071"/>
    <cellStyle name="常规 6 2 2 5 7 4" xfId="22072"/>
    <cellStyle name="常规 6 2 2 5 7 5" xfId="22073"/>
    <cellStyle name="常规 6 2 2 5 7 6" xfId="22074"/>
    <cellStyle name="常规 6 2 2 5 7 7" xfId="22075"/>
    <cellStyle name="常规 6 2 2 5 8" xfId="22076"/>
    <cellStyle name="常规 6 2 2 5 8 2" xfId="22077"/>
    <cellStyle name="常规 6 2 2 5 8 2 2" xfId="22078"/>
    <cellStyle name="常规 6 2 2 5 8 2 3" xfId="22079"/>
    <cellStyle name="常规 6 2 2 5 8 2 4" xfId="22080"/>
    <cellStyle name="常规 6 2 2 5 8 2 5" xfId="22081"/>
    <cellStyle name="常规 6 2 2 5 8 2 6" xfId="22082"/>
    <cellStyle name="常规 6 2 2 5 8 3" xfId="22083"/>
    <cellStyle name="常规 6 2 2 5 8 4" xfId="22084"/>
    <cellStyle name="常规 6 2 2 5 8 5" xfId="22085"/>
    <cellStyle name="常规 6 2 2 5 8 6" xfId="22086"/>
    <cellStyle name="常规 6 2 2 5 8 7" xfId="22087"/>
    <cellStyle name="常规 6 2 2 5 9" xfId="22088"/>
    <cellStyle name="常规 6 2 2 5 9 2" xfId="22089"/>
    <cellStyle name="常规 6 2 2 5 9 3" xfId="22090"/>
    <cellStyle name="常规 6 2 2 5 9 4" xfId="22091"/>
    <cellStyle name="常规 6 2 2 5 9 5" xfId="22092"/>
    <cellStyle name="常规 6 2 2 5 9 6" xfId="22093"/>
    <cellStyle name="常规 6 2 2 6" xfId="22094"/>
    <cellStyle name="常规 6 2 2 6 10" xfId="22095"/>
    <cellStyle name="常规 6 2 2 6 11" xfId="22096"/>
    <cellStyle name="常规 6 2 2 6 12" xfId="22097"/>
    <cellStyle name="常规 6 2 2 6 13" xfId="22098"/>
    <cellStyle name="常规 6 2 2 6 14" xfId="22099"/>
    <cellStyle name="常规 6 2 2 6 2" xfId="22100"/>
    <cellStyle name="常规 6 2 2 6 2 2" xfId="22101"/>
    <cellStyle name="常规 6 2 2 6 2 2 2" xfId="22102"/>
    <cellStyle name="常规 6 2 2 6 2 2 3" xfId="22103"/>
    <cellStyle name="常规 6 2 2 6 2 2 4" xfId="22104"/>
    <cellStyle name="常规 6 2 2 6 2 2 5" xfId="22105"/>
    <cellStyle name="常规 6 2 2 6 2 2 6" xfId="22106"/>
    <cellStyle name="常规 6 2 2 6 2 3" xfId="22107"/>
    <cellStyle name="常规 6 2 2 6 2 4" xfId="22108"/>
    <cellStyle name="常规 6 2 2 6 2 5" xfId="22109"/>
    <cellStyle name="常规 6 2 2 6 2 6" xfId="22110"/>
    <cellStyle name="常规 6 2 2 6 2 7" xfId="22111"/>
    <cellStyle name="常规 6 2 2 6 3" xfId="22112"/>
    <cellStyle name="常规 6 2 2 6 3 2" xfId="22113"/>
    <cellStyle name="常规 6 2 2 6 3 2 2" xfId="22114"/>
    <cellStyle name="常规 6 2 2 6 3 2 3" xfId="22115"/>
    <cellStyle name="常规 6 2 2 6 3 2 4" xfId="22116"/>
    <cellStyle name="常规 6 2 2 6 3 2 5" xfId="22117"/>
    <cellStyle name="常规 6 2 2 6 3 2 6" xfId="22118"/>
    <cellStyle name="常规 6 2 2 6 3 3" xfId="22119"/>
    <cellStyle name="常规 6 2 2 6 3 4" xfId="22120"/>
    <cellStyle name="常规 6 2 2 6 3 5" xfId="22121"/>
    <cellStyle name="常规 6 2 2 6 3 6" xfId="22122"/>
    <cellStyle name="常规 6 2 2 6 3 7" xfId="22123"/>
    <cellStyle name="常规 6 2 2 6 4" xfId="22124"/>
    <cellStyle name="常规 6 2 2 6 4 2" xfId="22125"/>
    <cellStyle name="常规 6 2 2 6 4 2 2" xfId="22126"/>
    <cellStyle name="常规 6 2 2 6 4 2 3" xfId="22127"/>
    <cellStyle name="常规 6 2 2 6 4 2 4" xfId="22128"/>
    <cellStyle name="常规 6 2 2 6 4 2 5" xfId="22129"/>
    <cellStyle name="常规 6 2 2 6 4 2 6" xfId="22130"/>
    <cellStyle name="常规 6 2 2 6 4 3" xfId="22131"/>
    <cellStyle name="常规 6 2 2 6 4 4" xfId="22132"/>
    <cellStyle name="常规 6 2 2 6 4 5" xfId="22133"/>
    <cellStyle name="常规 6 2 2 6 4 6" xfId="22134"/>
    <cellStyle name="常规 6 2 2 6 4 7" xfId="22135"/>
    <cellStyle name="常规 6 2 2 6 5" xfId="22136"/>
    <cellStyle name="常规 6 2 2 6 5 2" xfId="22137"/>
    <cellStyle name="常规 6 2 2 6 5 2 2" xfId="22138"/>
    <cellStyle name="常规 6 2 2 6 5 2 3" xfId="22139"/>
    <cellStyle name="常规 6 2 2 6 5 2 4" xfId="22140"/>
    <cellStyle name="常规 6 2 2 6 5 2 5" xfId="22141"/>
    <cellStyle name="常规 6 2 2 6 5 2 6" xfId="22142"/>
    <cellStyle name="常规 6 2 2 6 5 3" xfId="22143"/>
    <cellStyle name="常规 6 2 2 6 5 4" xfId="22144"/>
    <cellStyle name="常规 6 2 2 6 5 5" xfId="22145"/>
    <cellStyle name="常规 6 2 2 6 5 6" xfId="22146"/>
    <cellStyle name="常规 6 2 2 6 5 7" xfId="22147"/>
    <cellStyle name="常规 6 2 2 6 6" xfId="22148"/>
    <cellStyle name="常规 6 2 2 6 6 2" xfId="22149"/>
    <cellStyle name="常规 6 2 2 6 6 2 2" xfId="22150"/>
    <cellStyle name="常规 6 2 2 6 6 2 3" xfId="22151"/>
    <cellStyle name="常规 6 2 2 6 6 2 4" xfId="22152"/>
    <cellStyle name="常规 6 2 2 6 6 2 5" xfId="22153"/>
    <cellStyle name="常规 6 2 2 6 6 2 6" xfId="22154"/>
    <cellStyle name="常规 6 2 2 6 6 3" xfId="22155"/>
    <cellStyle name="常规 6 2 2 6 6 4" xfId="22156"/>
    <cellStyle name="常规 6 2 2 6 6 5" xfId="22157"/>
    <cellStyle name="常规 6 2 2 6 6 6" xfId="22158"/>
    <cellStyle name="常规 6 2 2 6 6 7" xfId="22159"/>
    <cellStyle name="常规 6 2 2 6 7" xfId="22160"/>
    <cellStyle name="常规 6 2 2 6 7 2" xfId="22161"/>
    <cellStyle name="常规 6 2 2 6 7 2 2" xfId="22162"/>
    <cellStyle name="常规 6 2 2 6 7 2 3" xfId="22163"/>
    <cellStyle name="常规 6 2 2 6 7 2 4" xfId="22164"/>
    <cellStyle name="常规 6 2 2 6 7 2 5" xfId="22165"/>
    <cellStyle name="常规 6 2 2 6 7 2 6" xfId="22166"/>
    <cellStyle name="常规 6 2 2 6 7 3" xfId="22167"/>
    <cellStyle name="常规 6 2 2 6 7 4" xfId="22168"/>
    <cellStyle name="常规 6 2 2 6 7 5" xfId="22169"/>
    <cellStyle name="常规 6 2 2 6 7 6" xfId="22170"/>
    <cellStyle name="常规 6 2 2 6 7 7" xfId="22171"/>
    <cellStyle name="常规 6 2 2 6 8" xfId="22172"/>
    <cellStyle name="常规 6 2 2 6 8 2" xfId="22173"/>
    <cellStyle name="常规 6 2 2 6 8 3" xfId="22174"/>
    <cellStyle name="常规 6 2 2 6 8 4" xfId="22175"/>
    <cellStyle name="常规 6 2 2 6 8 5" xfId="22176"/>
    <cellStyle name="常规 6 2 2 6 8 6" xfId="22177"/>
    <cellStyle name="常规 6 2 2 6 9" xfId="22178"/>
    <cellStyle name="常规 6 2 2 7" xfId="22179"/>
    <cellStyle name="常规 6 2 2 7 10" xfId="22180"/>
    <cellStyle name="常规 6 2 2 7 11" xfId="22181"/>
    <cellStyle name="常规 6 2 2 7 12" xfId="22182"/>
    <cellStyle name="常规 6 2 2 7 13" xfId="22183"/>
    <cellStyle name="常规 6 2 2 7 2" xfId="22184"/>
    <cellStyle name="常规 6 2 2 7 2 2" xfId="22185"/>
    <cellStyle name="常规 6 2 2 7 2 2 2" xfId="22186"/>
    <cellStyle name="常规 6 2 2 7 2 2 3" xfId="22187"/>
    <cellStyle name="常规 6 2 2 7 2 2 4" xfId="22188"/>
    <cellStyle name="常规 6 2 2 7 2 2 5" xfId="22189"/>
    <cellStyle name="常规 6 2 2 7 2 2 6" xfId="22190"/>
    <cellStyle name="常规 6 2 2 7 2 3" xfId="22191"/>
    <cellStyle name="常规 6 2 2 7 2 4" xfId="22192"/>
    <cellStyle name="常规 6 2 2 7 2 5" xfId="22193"/>
    <cellStyle name="常规 6 2 2 7 2 6" xfId="22194"/>
    <cellStyle name="常规 6 2 2 7 2 7" xfId="22195"/>
    <cellStyle name="常规 6 2 2 7 3" xfId="22196"/>
    <cellStyle name="常规 6 2 2 7 3 2" xfId="22197"/>
    <cellStyle name="常规 6 2 2 7 3 2 2" xfId="22198"/>
    <cellStyle name="常规 6 2 2 7 3 2 3" xfId="22199"/>
    <cellStyle name="常规 6 2 2 7 3 2 4" xfId="22200"/>
    <cellStyle name="常规 6 2 2 7 3 2 5" xfId="22201"/>
    <cellStyle name="常规 6 2 2 7 3 2 6" xfId="22202"/>
    <cellStyle name="常规 6 2 2 7 3 3" xfId="22203"/>
    <cellStyle name="常规 6 2 2 7 3 4" xfId="22204"/>
    <cellStyle name="常规 6 2 2 7 3 5" xfId="22205"/>
    <cellStyle name="常规 6 2 2 7 3 6" xfId="22206"/>
    <cellStyle name="常规 6 2 2 7 3 7" xfId="22207"/>
    <cellStyle name="常规 6 2 2 7 4" xfId="22208"/>
    <cellStyle name="常规 6 2 2 7 4 2" xfId="22209"/>
    <cellStyle name="常规 6 2 2 7 4 2 2" xfId="22210"/>
    <cellStyle name="常规 6 2 2 7 4 2 3" xfId="22211"/>
    <cellStyle name="常规 6 2 2 7 4 2 4" xfId="22212"/>
    <cellStyle name="常规 6 2 2 7 4 2 5" xfId="22213"/>
    <cellStyle name="常规 6 2 2 7 4 2 6" xfId="22214"/>
    <cellStyle name="常规 6 2 2 7 4 3" xfId="22215"/>
    <cellStyle name="常规 6 2 2 7 4 4" xfId="22216"/>
    <cellStyle name="常规 6 2 2 7 4 5" xfId="22217"/>
    <cellStyle name="常规 6 2 2 7 4 6" xfId="22218"/>
    <cellStyle name="常规 6 2 2 7 4 7" xfId="22219"/>
    <cellStyle name="常规 6 2 2 7 5" xfId="22220"/>
    <cellStyle name="常规 6 2 2 7 5 2" xfId="22221"/>
    <cellStyle name="常规 6 2 2 7 5 2 2" xfId="22222"/>
    <cellStyle name="常规 6 2 2 7 5 2 3" xfId="22223"/>
    <cellStyle name="常规 6 2 2 7 5 2 4" xfId="22224"/>
    <cellStyle name="常规 6 2 2 7 5 2 5" xfId="22225"/>
    <cellStyle name="常规 6 2 2 7 5 2 6" xfId="22226"/>
    <cellStyle name="常规 6 2 2 7 5 3" xfId="22227"/>
    <cellStyle name="常规 6 2 2 7 5 4" xfId="22228"/>
    <cellStyle name="常规 6 2 2 7 5 5" xfId="22229"/>
    <cellStyle name="常规 6 2 2 7 5 6" xfId="22230"/>
    <cellStyle name="常规 6 2 2 7 5 7" xfId="22231"/>
    <cellStyle name="常规 6 2 2 7 6" xfId="22232"/>
    <cellStyle name="常规 6 2 2 7 6 2" xfId="22233"/>
    <cellStyle name="常规 6 2 2 7 6 2 2" xfId="22234"/>
    <cellStyle name="常规 6 2 2 7 6 2 3" xfId="22235"/>
    <cellStyle name="常规 6 2 2 7 6 2 4" xfId="22236"/>
    <cellStyle name="常规 6 2 2 7 6 2 5" xfId="22237"/>
    <cellStyle name="常规 6 2 2 7 6 2 6" xfId="22238"/>
    <cellStyle name="常规 6 2 2 7 6 3" xfId="22239"/>
    <cellStyle name="常规 6 2 2 7 6 4" xfId="22240"/>
    <cellStyle name="常规 6 2 2 7 6 5" xfId="22241"/>
    <cellStyle name="常规 6 2 2 7 6 6" xfId="22242"/>
    <cellStyle name="常规 6 2 2 7 6 7" xfId="22243"/>
    <cellStyle name="常规 6 2 2 7 7" xfId="22244"/>
    <cellStyle name="常规 6 2 2 7 7 2" xfId="22245"/>
    <cellStyle name="常规 6 2 2 7 7 3" xfId="22246"/>
    <cellStyle name="常规 6 2 2 7 7 4" xfId="22247"/>
    <cellStyle name="常规 6 2 2 7 7 5" xfId="22248"/>
    <cellStyle name="常规 6 2 2 7 7 6" xfId="22249"/>
    <cellStyle name="常规 6 2 2 7 8" xfId="22250"/>
    <cellStyle name="常规 6 2 2 7 9" xfId="22251"/>
    <cellStyle name="常规 6 2 2 8" xfId="22252"/>
    <cellStyle name="常规 6 2 2 8 10" xfId="22253"/>
    <cellStyle name="常规 6 2 2 8 11" xfId="22254"/>
    <cellStyle name="常规 6 2 2 8 12" xfId="22255"/>
    <cellStyle name="常规 6 2 2 8 2" xfId="22256"/>
    <cellStyle name="常规 6 2 2 8 2 2" xfId="22257"/>
    <cellStyle name="常规 6 2 2 8 2 2 2" xfId="22258"/>
    <cellStyle name="常规 6 2 2 8 2 2 3" xfId="22259"/>
    <cellStyle name="常规 6 2 2 8 2 2 4" xfId="22260"/>
    <cellStyle name="常规 6 2 2 8 2 2 5" xfId="22261"/>
    <cellStyle name="常规 6 2 2 8 2 2 6" xfId="22262"/>
    <cellStyle name="常规 6 2 2 8 2 3" xfId="22263"/>
    <cellStyle name="常规 6 2 2 8 2 4" xfId="22264"/>
    <cellStyle name="常规 6 2 2 8 2 5" xfId="22265"/>
    <cellStyle name="常规 6 2 2 8 2 6" xfId="22266"/>
    <cellStyle name="常规 6 2 2 8 2 7" xfId="22267"/>
    <cellStyle name="常规 6 2 2 8 3" xfId="22268"/>
    <cellStyle name="常规 6 2 2 8 3 2" xfId="22269"/>
    <cellStyle name="常规 6 2 2 8 3 2 2" xfId="22270"/>
    <cellStyle name="常规 6 2 2 8 3 2 3" xfId="22271"/>
    <cellStyle name="常规 6 2 2 8 3 2 4" xfId="22272"/>
    <cellStyle name="常规 6 2 2 8 3 2 5" xfId="22273"/>
    <cellStyle name="常规 6 2 2 8 3 2 6" xfId="22274"/>
    <cellStyle name="常规 6 2 2 8 3 3" xfId="22275"/>
    <cellStyle name="常规 6 2 2 8 3 4" xfId="22276"/>
    <cellStyle name="常规 6 2 2 8 3 5" xfId="22277"/>
    <cellStyle name="常规 6 2 2 8 3 6" xfId="22278"/>
    <cellStyle name="常规 6 2 2 8 3 7" xfId="22279"/>
    <cellStyle name="常规 6 2 2 8 4" xfId="22280"/>
    <cellStyle name="常规 6 2 2 8 4 2" xfId="22281"/>
    <cellStyle name="常规 6 2 2 8 4 2 2" xfId="22282"/>
    <cellStyle name="常规 6 2 2 8 4 2 3" xfId="22283"/>
    <cellStyle name="常规 6 2 2 8 4 2 4" xfId="22284"/>
    <cellStyle name="常规 6 2 2 8 4 2 5" xfId="22285"/>
    <cellStyle name="常规 6 2 2 8 4 2 6" xfId="22286"/>
    <cellStyle name="常规 6 2 2 8 4 3" xfId="22287"/>
    <cellStyle name="常规 6 2 2 8 4 4" xfId="22288"/>
    <cellStyle name="常规 6 2 2 8 4 5" xfId="22289"/>
    <cellStyle name="常规 6 2 2 8 4 6" xfId="22290"/>
    <cellStyle name="常规 6 2 2 8 4 7" xfId="22291"/>
    <cellStyle name="常规 6 2 2 8 5" xfId="22292"/>
    <cellStyle name="常规 6 2 2 8 5 2" xfId="22293"/>
    <cellStyle name="常规 6 2 2 8 5 2 2" xfId="22294"/>
    <cellStyle name="常规 6 2 2 8 5 2 3" xfId="22295"/>
    <cellStyle name="常规 6 2 2 8 5 2 4" xfId="22296"/>
    <cellStyle name="常规 6 2 2 8 5 2 5" xfId="22297"/>
    <cellStyle name="常规 6 2 2 8 5 2 6" xfId="22298"/>
    <cellStyle name="常规 6 2 2 8 5 3" xfId="22299"/>
    <cellStyle name="常规 6 2 2 8 5 4" xfId="22300"/>
    <cellStyle name="常规 6 2 2 8 5 5" xfId="22301"/>
    <cellStyle name="常规 6 2 2 8 5 6" xfId="22302"/>
    <cellStyle name="常规 6 2 2 8 5 7" xfId="22303"/>
    <cellStyle name="常规 6 2 2 8 6" xfId="22304"/>
    <cellStyle name="常规 6 2 2 8 6 2" xfId="22305"/>
    <cellStyle name="常规 6 2 2 8 6 3" xfId="22306"/>
    <cellStyle name="常规 6 2 2 8 6 4" xfId="22307"/>
    <cellStyle name="常规 6 2 2 8 6 5" xfId="22308"/>
    <cellStyle name="常规 6 2 2 8 6 6" xfId="22309"/>
    <cellStyle name="常规 6 2 2 8 7" xfId="22310"/>
    <cellStyle name="常规 6 2 2 8 8" xfId="22311"/>
    <cellStyle name="常规 6 2 2 8 9" xfId="22312"/>
    <cellStyle name="常规 6 2 2 9" xfId="22313"/>
    <cellStyle name="常规 6 2 2 9 10" xfId="22314"/>
    <cellStyle name="常规 6 2 2 9 2" xfId="22315"/>
    <cellStyle name="常规 6 2 2 9 2 2" xfId="22316"/>
    <cellStyle name="常规 6 2 2 9 2 2 2" xfId="22317"/>
    <cellStyle name="常规 6 2 2 9 2 2 3" xfId="22318"/>
    <cellStyle name="常规 6 2 2 9 2 2 4" xfId="22319"/>
    <cellStyle name="常规 6 2 2 9 2 2 5" xfId="22320"/>
    <cellStyle name="常规 6 2 2 9 2 2 6" xfId="22321"/>
    <cellStyle name="常规 6 2 2 9 2 3" xfId="22322"/>
    <cellStyle name="常规 6 2 2 9 2 4" xfId="22323"/>
    <cellStyle name="常规 6 2 2 9 2 5" xfId="22324"/>
    <cellStyle name="常规 6 2 2 9 2 6" xfId="22325"/>
    <cellStyle name="常规 6 2 2 9 2 7" xfId="22326"/>
    <cellStyle name="常规 6 2 2 9 3" xfId="22327"/>
    <cellStyle name="常规 6 2 2 9 3 2" xfId="22328"/>
    <cellStyle name="常规 6 2 2 9 3 2 2" xfId="22329"/>
    <cellStyle name="常规 6 2 2 9 3 2 3" xfId="22330"/>
    <cellStyle name="常规 6 2 2 9 3 2 4" xfId="22331"/>
    <cellStyle name="常规 6 2 2 9 3 2 5" xfId="22332"/>
    <cellStyle name="常规 6 2 2 9 3 2 6" xfId="22333"/>
    <cellStyle name="常规 6 2 2 9 3 3" xfId="22334"/>
    <cellStyle name="常规 6 2 2 9 3 4" xfId="22335"/>
    <cellStyle name="常规 6 2 2 9 3 5" xfId="22336"/>
    <cellStyle name="常规 6 2 2 9 3 6" xfId="22337"/>
    <cellStyle name="常规 6 2 2 9 3 7" xfId="22338"/>
    <cellStyle name="常规 6 2 2 9 4" xfId="22339"/>
    <cellStyle name="常规 6 2 2 9 4 2" xfId="22340"/>
    <cellStyle name="常规 6 2 2 9 4 2 2" xfId="22341"/>
    <cellStyle name="常规 6 2 2 9 4 2 3" xfId="22342"/>
    <cellStyle name="常规 6 2 2 9 4 2 4" xfId="22343"/>
    <cellStyle name="常规 6 2 2 9 4 2 5" xfId="22344"/>
    <cellStyle name="常规 6 2 2 9 4 2 6" xfId="22345"/>
    <cellStyle name="常规 6 2 2 9 4 3" xfId="22346"/>
    <cellStyle name="常规 6 2 2 9 4 4" xfId="22347"/>
    <cellStyle name="常规 6 2 2 9 4 5" xfId="22348"/>
    <cellStyle name="常规 6 2 2 9 4 6" xfId="22349"/>
    <cellStyle name="常规 6 2 2 9 4 7" xfId="22350"/>
    <cellStyle name="常规 6 2 2 9 5" xfId="22351"/>
    <cellStyle name="常规 6 2 2 9 5 2" xfId="22352"/>
    <cellStyle name="常规 6 2 2 9 5 3" xfId="22353"/>
    <cellStyle name="常规 6 2 2 9 5 4" xfId="22354"/>
    <cellStyle name="常规 6 2 2 9 5 5" xfId="22355"/>
    <cellStyle name="常规 6 2 2 9 5 6" xfId="22356"/>
    <cellStyle name="常规 6 2 2 9 6" xfId="22357"/>
    <cellStyle name="常规 6 2 2 9 7" xfId="22358"/>
    <cellStyle name="常规 6 2 2 9 8" xfId="22359"/>
    <cellStyle name="常规 6 2 2 9 9" xfId="22360"/>
    <cellStyle name="常规 6 2 20" xfId="22361"/>
    <cellStyle name="常规 6 2 20 2" xfId="22362"/>
    <cellStyle name="常规 6 2 20 3" xfId="22363"/>
    <cellStyle name="常规 6 2 20 4" xfId="22364"/>
    <cellStyle name="常规 6 2 20 5" xfId="22365"/>
    <cellStyle name="常规 6 2 20 6" xfId="22366"/>
    <cellStyle name="常规 6 2 21" xfId="22367"/>
    <cellStyle name="常规 6 2 22" xfId="22368"/>
    <cellStyle name="常规 6 2 23" xfId="22369"/>
    <cellStyle name="常规 6 2 24" xfId="22370"/>
    <cellStyle name="常规 6 2 25" xfId="22371"/>
    <cellStyle name="常规 6 2 26" xfId="22372"/>
    <cellStyle name="常规 6 2 27" xfId="22373"/>
    <cellStyle name="常规 6 2 3" xfId="22374"/>
    <cellStyle name="常规 6 2 3 10" xfId="22375"/>
    <cellStyle name="常规 6 2 3 10 2" xfId="22376"/>
    <cellStyle name="常规 6 2 3 10 2 2" xfId="22377"/>
    <cellStyle name="常规 6 2 3 10 2 3" xfId="22378"/>
    <cellStyle name="常规 6 2 3 10 2 4" xfId="22379"/>
    <cellStyle name="常规 6 2 3 10 2 5" xfId="22380"/>
    <cellStyle name="常规 6 2 3 10 2 6" xfId="22381"/>
    <cellStyle name="常规 6 2 3 10 3" xfId="22382"/>
    <cellStyle name="常规 6 2 3 10 4" xfId="22383"/>
    <cellStyle name="常规 6 2 3 10 5" xfId="22384"/>
    <cellStyle name="常规 6 2 3 10 6" xfId="22385"/>
    <cellStyle name="常规 6 2 3 10 7" xfId="22386"/>
    <cellStyle name="常规 6 2 3 11" xfId="22387"/>
    <cellStyle name="常规 6 2 3 11 2" xfId="22388"/>
    <cellStyle name="常规 6 2 3 11 2 2" xfId="22389"/>
    <cellStyle name="常规 6 2 3 11 2 3" xfId="22390"/>
    <cellStyle name="常规 6 2 3 11 2 4" xfId="22391"/>
    <cellStyle name="常规 6 2 3 11 2 5" xfId="22392"/>
    <cellStyle name="常规 6 2 3 11 2 6" xfId="22393"/>
    <cellStyle name="常规 6 2 3 11 3" xfId="22394"/>
    <cellStyle name="常规 6 2 3 11 4" xfId="22395"/>
    <cellStyle name="常规 6 2 3 11 5" xfId="22396"/>
    <cellStyle name="常规 6 2 3 11 6" xfId="22397"/>
    <cellStyle name="常规 6 2 3 11 7" xfId="22398"/>
    <cellStyle name="常规 6 2 3 12" xfId="22399"/>
    <cellStyle name="常规 6 2 3 12 2" xfId="22400"/>
    <cellStyle name="常规 6 2 3 12 3" xfId="22401"/>
    <cellStyle name="常规 6 2 3 12 4" xfId="22402"/>
    <cellStyle name="常规 6 2 3 12 5" xfId="22403"/>
    <cellStyle name="常规 6 2 3 12 6" xfId="22404"/>
    <cellStyle name="常规 6 2 3 13" xfId="22405"/>
    <cellStyle name="常规 6 2 3 14" xfId="22406"/>
    <cellStyle name="常规 6 2 3 15" xfId="22407"/>
    <cellStyle name="常规 6 2 3 16" xfId="22408"/>
    <cellStyle name="常规 6 2 3 17" xfId="22409"/>
    <cellStyle name="常规 6 2 3 18" xfId="22410"/>
    <cellStyle name="常规 6 2 3 19" xfId="22411"/>
    <cellStyle name="常规 6 2 3 2" xfId="22412"/>
    <cellStyle name="常规 6 2 3 2 2" xfId="22413"/>
    <cellStyle name="常规 6 2 3 2 2 2" xfId="22414"/>
    <cellStyle name="常规 6 2 3 2 3" xfId="22415"/>
    <cellStyle name="常规 6 2 3 2 4" xfId="22416"/>
    <cellStyle name="常规 6 2 3 2 5" xfId="22417"/>
    <cellStyle name="常规 6 2 3 3" xfId="22418"/>
    <cellStyle name="常规 6 2 3 3 2" xfId="22419"/>
    <cellStyle name="常规 6 2 3 3 2 2" xfId="22420"/>
    <cellStyle name="常规 6 2 3 3 2 3" xfId="22421"/>
    <cellStyle name="常规 6 2 3 3 2 4" xfId="22422"/>
    <cellStyle name="常规 6 2 3 3 2 5" xfId="22423"/>
    <cellStyle name="常规 6 2 3 3 2 6" xfId="22424"/>
    <cellStyle name="常规 6 2 3 3 2 7" xfId="22425"/>
    <cellStyle name="常规 6 2 3 3 2 8" xfId="22426"/>
    <cellStyle name="常规 6 2 3 3 3" xfId="22427"/>
    <cellStyle name="常规 6 2 3 3 3 2" xfId="22428"/>
    <cellStyle name="常规 6 2 3 3 4" xfId="22429"/>
    <cellStyle name="常规 6 2 3 3 4 2" xfId="22430"/>
    <cellStyle name="常规 6 2 3 3 5" xfId="22431"/>
    <cellStyle name="常规 6 2 3 3 6" xfId="22432"/>
    <cellStyle name="常规 6 2 3 3 7" xfId="22433"/>
    <cellStyle name="常规 6 2 3 3 8" xfId="22434"/>
    <cellStyle name="常规 6 2 3 4" xfId="22435"/>
    <cellStyle name="常规 6 2 3 4 2" xfId="22436"/>
    <cellStyle name="常规 6 2 3 4 2 2" xfId="22437"/>
    <cellStyle name="常规 6 2 3 4 2 3" xfId="22438"/>
    <cellStyle name="常规 6 2 3 4 2 4" xfId="22439"/>
    <cellStyle name="常规 6 2 3 4 2 5" xfId="22440"/>
    <cellStyle name="常规 6 2 3 4 2 6" xfId="22441"/>
    <cellStyle name="常规 6 2 3 4 3" xfId="22442"/>
    <cellStyle name="常规 6 2 3 4 4" xfId="22443"/>
    <cellStyle name="常规 6 2 3 4 5" xfId="22444"/>
    <cellStyle name="常规 6 2 3 4 6" xfId="22445"/>
    <cellStyle name="常规 6 2 3 4 7" xfId="22446"/>
    <cellStyle name="常规 6 2 3 4 8" xfId="22447"/>
    <cellStyle name="常规 6 2 3 4 9" xfId="22448"/>
    <cellStyle name="常规 6 2 3 5" xfId="22449"/>
    <cellStyle name="常规 6 2 3 5 2" xfId="22450"/>
    <cellStyle name="常规 6 2 3 5 2 2" xfId="22451"/>
    <cellStyle name="常规 6 2 3 5 2 3" xfId="22452"/>
    <cellStyle name="常规 6 2 3 5 2 4" xfId="22453"/>
    <cellStyle name="常规 6 2 3 5 2 5" xfId="22454"/>
    <cellStyle name="常规 6 2 3 5 2 6" xfId="22455"/>
    <cellStyle name="常规 6 2 3 5 3" xfId="22456"/>
    <cellStyle name="常规 6 2 3 5 4" xfId="22457"/>
    <cellStyle name="常规 6 2 3 5 5" xfId="22458"/>
    <cellStyle name="常规 6 2 3 5 6" xfId="22459"/>
    <cellStyle name="常规 6 2 3 5 7" xfId="22460"/>
    <cellStyle name="常规 6 2 3 5 8" xfId="22461"/>
    <cellStyle name="常规 6 2 3 6" xfId="22462"/>
    <cellStyle name="常规 6 2 3 6 2" xfId="22463"/>
    <cellStyle name="常规 6 2 3 6 2 2" xfId="22464"/>
    <cellStyle name="常规 6 2 3 6 2 3" xfId="22465"/>
    <cellStyle name="常规 6 2 3 6 2 4" xfId="22466"/>
    <cellStyle name="常规 6 2 3 6 2 5" xfId="22467"/>
    <cellStyle name="常规 6 2 3 6 2 6" xfId="22468"/>
    <cellStyle name="常规 6 2 3 6 3" xfId="22469"/>
    <cellStyle name="常规 6 2 3 6 4" xfId="22470"/>
    <cellStyle name="常规 6 2 3 6 5" xfId="22471"/>
    <cellStyle name="常规 6 2 3 6 6" xfId="22472"/>
    <cellStyle name="常规 6 2 3 6 7" xfId="22473"/>
    <cellStyle name="常规 6 2 3 6 8" xfId="22474"/>
    <cellStyle name="常规 6 2 3 7" xfId="22475"/>
    <cellStyle name="常规 6 2 3 7 2" xfId="22476"/>
    <cellStyle name="常规 6 2 3 7 2 2" xfId="22477"/>
    <cellStyle name="常规 6 2 3 7 2 3" xfId="22478"/>
    <cellStyle name="常规 6 2 3 7 2 4" xfId="22479"/>
    <cellStyle name="常规 6 2 3 7 2 5" xfId="22480"/>
    <cellStyle name="常规 6 2 3 7 2 6" xfId="22481"/>
    <cellStyle name="常规 6 2 3 7 3" xfId="22482"/>
    <cellStyle name="常规 6 2 3 7 4" xfId="22483"/>
    <cellStyle name="常规 6 2 3 7 5" xfId="22484"/>
    <cellStyle name="常规 6 2 3 7 6" xfId="22485"/>
    <cellStyle name="常规 6 2 3 7 7" xfId="22486"/>
    <cellStyle name="常规 6 2 3 7 8" xfId="22487"/>
    <cellStyle name="常规 6 2 3 8" xfId="22488"/>
    <cellStyle name="常规 6 2 3 8 2" xfId="22489"/>
    <cellStyle name="常规 6 2 3 8 2 2" xfId="22490"/>
    <cellStyle name="常规 6 2 3 8 2 3" xfId="22491"/>
    <cellStyle name="常规 6 2 3 8 2 4" xfId="22492"/>
    <cellStyle name="常规 6 2 3 8 2 5" xfId="22493"/>
    <cellStyle name="常规 6 2 3 8 2 6" xfId="22494"/>
    <cellStyle name="常规 6 2 3 8 3" xfId="22495"/>
    <cellStyle name="常规 6 2 3 8 4" xfId="22496"/>
    <cellStyle name="常规 6 2 3 8 5" xfId="22497"/>
    <cellStyle name="常规 6 2 3 8 6" xfId="22498"/>
    <cellStyle name="常规 6 2 3 8 7" xfId="22499"/>
    <cellStyle name="常规 6 2 3 9" xfId="22500"/>
    <cellStyle name="常规 6 2 3 9 2" xfId="22501"/>
    <cellStyle name="常规 6 2 3 9 2 2" xfId="22502"/>
    <cellStyle name="常规 6 2 3 9 2 3" xfId="22503"/>
    <cellStyle name="常规 6 2 3 9 2 4" xfId="22504"/>
    <cellStyle name="常规 6 2 3 9 2 5" xfId="22505"/>
    <cellStyle name="常规 6 2 3 9 2 6" xfId="22506"/>
    <cellStyle name="常规 6 2 3 9 3" xfId="22507"/>
    <cellStyle name="常规 6 2 3 9 4" xfId="22508"/>
    <cellStyle name="常规 6 2 3 9 5" xfId="22509"/>
    <cellStyle name="常规 6 2 3 9 6" xfId="22510"/>
    <cellStyle name="常规 6 2 3 9 7" xfId="22511"/>
    <cellStyle name="常规 6 2 4" xfId="22512"/>
    <cellStyle name="常规 6 2 4 10" xfId="22513"/>
    <cellStyle name="常规 6 2 4 11" xfId="22514"/>
    <cellStyle name="常规 6 2 4 2" xfId="22515"/>
    <cellStyle name="常规 6 2 4 2 2" xfId="22516"/>
    <cellStyle name="常规 6 2 4 2 2 2" xfId="22517"/>
    <cellStyle name="常规 6 2 4 2 2 3" xfId="22518"/>
    <cellStyle name="常规 6 2 4 2 2 4" xfId="22519"/>
    <cellStyle name="常规 6 2 4 2 2 5" xfId="22520"/>
    <cellStyle name="常规 6 2 4 2 2 6" xfId="22521"/>
    <cellStyle name="常规 6 2 4 2 3" xfId="22522"/>
    <cellStyle name="常规 6 2 4 2 4" xfId="22523"/>
    <cellStyle name="常规 6 2 4 2 5" xfId="22524"/>
    <cellStyle name="常规 6 2 4 2 6" xfId="22525"/>
    <cellStyle name="常规 6 2 4 2 7" xfId="22526"/>
    <cellStyle name="常规 6 2 4 2 8" xfId="22527"/>
    <cellStyle name="常规 6 2 4 2 9" xfId="22528"/>
    <cellStyle name="常规 6 2 4 3" xfId="22529"/>
    <cellStyle name="常规 6 2 4 3 2" xfId="22530"/>
    <cellStyle name="常规 6 2 4 3 2 2" xfId="22531"/>
    <cellStyle name="常规 6 2 4 3 2 3" xfId="22532"/>
    <cellStyle name="常规 6 2 4 3 2 4" xfId="22533"/>
    <cellStyle name="常规 6 2 4 3 2 5" xfId="22534"/>
    <cellStyle name="常规 6 2 4 3 2 6" xfId="22535"/>
    <cellStyle name="常规 6 2 4 3 3" xfId="22536"/>
    <cellStyle name="常规 6 2 4 3 4" xfId="22537"/>
    <cellStyle name="常规 6 2 4 3 5" xfId="22538"/>
    <cellStyle name="常规 6 2 4 3 6" xfId="22539"/>
    <cellStyle name="常规 6 2 4 3 7" xfId="22540"/>
    <cellStyle name="常规 6 2 4 3 8" xfId="22541"/>
    <cellStyle name="常规 6 2 4 4" xfId="22542"/>
    <cellStyle name="常规 6 2 4 4 2" xfId="22543"/>
    <cellStyle name="常规 6 2 4 4 2 2" xfId="22544"/>
    <cellStyle name="常规 6 2 4 4 2 3" xfId="22545"/>
    <cellStyle name="常规 6 2 4 4 2 4" xfId="22546"/>
    <cellStyle name="常规 6 2 4 4 2 5" xfId="22547"/>
    <cellStyle name="常规 6 2 4 4 2 6" xfId="22548"/>
    <cellStyle name="常规 6 2 4 4 3" xfId="22549"/>
    <cellStyle name="常规 6 2 4 4 4" xfId="22550"/>
    <cellStyle name="常规 6 2 4 4 5" xfId="22551"/>
    <cellStyle name="常规 6 2 4 4 6" xfId="22552"/>
    <cellStyle name="常规 6 2 4 4 7" xfId="22553"/>
    <cellStyle name="常规 6 2 4 4 8" xfId="22554"/>
    <cellStyle name="常规 6 2 4 5" xfId="22555"/>
    <cellStyle name="常规 6 2 4 5 2" xfId="22556"/>
    <cellStyle name="常规 6 2 4 5 2 2" xfId="22557"/>
    <cellStyle name="常规 6 2 4 5 2 3" xfId="22558"/>
    <cellStyle name="常规 6 2 4 5 2 4" xfId="22559"/>
    <cellStyle name="常规 6 2 4 5 2 5" xfId="22560"/>
    <cellStyle name="常规 6 2 4 5 2 6" xfId="22561"/>
    <cellStyle name="常规 6 2 4 5 3" xfId="22562"/>
    <cellStyle name="常规 6 2 4 5 4" xfId="22563"/>
    <cellStyle name="常规 6 2 4 5 5" xfId="22564"/>
    <cellStyle name="常规 6 2 4 5 6" xfId="22565"/>
    <cellStyle name="常规 6 2 4 5 7" xfId="22566"/>
    <cellStyle name="常规 6 2 4 5 8" xfId="22567"/>
    <cellStyle name="常规 6 2 4 6" xfId="22568"/>
    <cellStyle name="常规 6 2 4 6 2" xfId="22569"/>
    <cellStyle name="常规 6 2 4 6 2 2" xfId="22570"/>
    <cellStyle name="常规 6 2 4 6 2 3" xfId="22571"/>
    <cellStyle name="常规 6 2 4 6 2 4" xfId="22572"/>
    <cellStyle name="常规 6 2 4 6 2 5" xfId="22573"/>
    <cellStyle name="常规 6 2 4 6 2 6" xfId="22574"/>
    <cellStyle name="常规 6 2 4 6 3" xfId="22575"/>
    <cellStyle name="常规 6 2 4 6 4" xfId="22576"/>
    <cellStyle name="常规 6 2 4 6 5" xfId="22577"/>
    <cellStyle name="常规 6 2 4 6 6" xfId="22578"/>
    <cellStyle name="常规 6 2 4 6 7" xfId="22579"/>
    <cellStyle name="常规 6 2 4 7" xfId="22580"/>
    <cellStyle name="常规 6 2 4 7 2" xfId="22581"/>
    <cellStyle name="常规 6 2 4 7 2 2" xfId="22582"/>
    <cellStyle name="常规 6 2 4 7 2 3" xfId="22583"/>
    <cellStyle name="常规 6 2 4 7 2 4" xfId="22584"/>
    <cellStyle name="常规 6 2 4 7 2 5" xfId="22585"/>
    <cellStyle name="常规 6 2 4 7 2 6" xfId="22586"/>
    <cellStyle name="常规 6 2 4 7 3" xfId="22587"/>
    <cellStyle name="常规 6 2 4 7 4" xfId="22588"/>
    <cellStyle name="常规 6 2 4 7 5" xfId="22589"/>
    <cellStyle name="常规 6 2 4 7 6" xfId="22590"/>
    <cellStyle name="常规 6 2 4 7 7" xfId="22591"/>
    <cellStyle name="常规 6 2 4 8" xfId="22592"/>
    <cellStyle name="常规 6 2 4 8 2" xfId="22593"/>
    <cellStyle name="常规 6 2 4 8 2 2" xfId="22594"/>
    <cellStyle name="常规 6 2 4 8 2 3" xfId="22595"/>
    <cellStyle name="常规 6 2 4 8 2 4" xfId="22596"/>
    <cellStyle name="常规 6 2 4 8 2 5" xfId="22597"/>
    <cellStyle name="常规 6 2 4 8 2 6" xfId="22598"/>
    <cellStyle name="常规 6 2 4 8 3" xfId="22599"/>
    <cellStyle name="常规 6 2 4 8 4" xfId="22600"/>
    <cellStyle name="常规 6 2 4 8 5" xfId="22601"/>
    <cellStyle name="常规 6 2 4 8 6" xfId="22602"/>
    <cellStyle name="常规 6 2 4 8 7" xfId="22603"/>
    <cellStyle name="常规 6 2 4 9" xfId="22604"/>
    <cellStyle name="常规 6 2 4 9 2" xfId="22605"/>
    <cellStyle name="常规 6 2 4 9 2 2" xfId="22606"/>
    <cellStyle name="常规 6 2 4 9 2 3" xfId="22607"/>
    <cellStyle name="常规 6 2 4 9 2 4" xfId="22608"/>
    <cellStyle name="常规 6 2 4 9 2 5" xfId="22609"/>
    <cellStyle name="常规 6 2 4 9 2 6" xfId="22610"/>
    <cellStyle name="常规 6 2 4 9 3" xfId="22611"/>
    <cellStyle name="常规 6 2 4 9 4" xfId="22612"/>
    <cellStyle name="常规 6 2 4 9 5" xfId="22613"/>
    <cellStyle name="常规 6 2 4 9 6" xfId="22614"/>
    <cellStyle name="常规 6 2 4 9 7" xfId="22615"/>
    <cellStyle name="常规 6 2 5" xfId="22616"/>
    <cellStyle name="常规 6 2 5 10" xfId="22617"/>
    <cellStyle name="常规 6 2 5 2" xfId="22618"/>
    <cellStyle name="常规 6 2 5 2 2" xfId="22619"/>
    <cellStyle name="常规 6 2 5 2 2 2" xfId="22620"/>
    <cellStyle name="常规 6 2 5 2 2 3" xfId="22621"/>
    <cellStyle name="常规 6 2 5 2 2 4" xfId="22622"/>
    <cellStyle name="常规 6 2 5 2 2 5" xfId="22623"/>
    <cellStyle name="常规 6 2 5 2 2 6" xfId="22624"/>
    <cellStyle name="常规 6 2 5 2 3" xfId="22625"/>
    <cellStyle name="常规 6 2 5 2 4" xfId="22626"/>
    <cellStyle name="常规 6 2 5 2 5" xfId="22627"/>
    <cellStyle name="常规 6 2 5 2 6" xfId="22628"/>
    <cellStyle name="常规 6 2 5 2 7" xfId="22629"/>
    <cellStyle name="常规 6 2 5 2 8" xfId="22630"/>
    <cellStyle name="常规 6 2 5 2 9" xfId="22631"/>
    <cellStyle name="常规 6 2 5 3" xfId="22632"/>
    <cellStyle name="常规 6 2 5 3 2" xfId="22633"/>
    <cellStyle name="常规 6 2 5 3 2 2" xfId="22634"/>
    <cellStyle name="常规 6 2 5 3 2 3" xfId="22635"/>
    <cellStyle name="常规 6 2 5 3 2 4" xfId="22636"/>
    <cellStyle name="常规 6 2 5 3 2 5" xfId="22637"/>
    <cellStyle name="常规 6 2 5 3 2 6" xfId="22638"/>
    <cellStyle name="常规 6 2 5 3 3" xfId="22639"/>
    <cellStyle name="常规 6 2 5 3 4" xfId="22640"/>
    <cellStyle name="常规 6 2 5 3 5" xfId="22641"/>
    <cellStyle name="常规 6 2 5 3 6" xfId="22642"/>
    <cellStyle name="常规 6 2 5 3 7" xfId="22643"/>
    <cellStyle name="常规 6 2 5 3 8" xfId="22644"/>
    <cellStyle name="常规 6 2 5 4" xfId="22645"/>
    <cellStyle name="常规 6 2 5 4 2" xfId="22646"/>
    <cellStyle name="常规 6 2 5 4 2 2" xfId="22647"/>
    <cellStyle name="常规 6 2 5 4 2 3" xfId="22648"/>
    <cellStyle name="常规 6 2 5 4 2 4" xfId="22649"/>
    <cellStyle name="常规 6 2 5 4 2 5" xfId="22650"/>
    <cellStyle name="常规 6 2 5 4 2 6" xfId="22651"/>
    <cellStyle name="常规 6 2 5 4 3" xfId="22652"/>
    <cellStyle name="常规 6 2 5 4 4" xfId="22653"/>
    <cellStyle name="常规 6 2 5 4 5" xfId="22654"/>
    <cellStyle name="常规 6 2 5 4 6" xfId="22655"/>
    <cellStyle name="常规 6 2 5 4 7" xfId="22656"/>
    <cellStyle name="常规 6 2 5 4 8" xfId="22657"/>
    <cellStyle name="常规 6 2 5 5" xfId="22658"/>
    <cellStyle name="常规 6 2 5 5 2" xfId="22659"/>
    <cellStyle name="常规 6 2 5 5 2 2" xfId="22660"/>
    <cellStyle name="常规 6 2 5 5 2 3" xfId="22661"/>
    <cellStyle name="常规 6 2 5 5 2 4" xfId="22662"/>
    <cellStyle name="常规 6 2 5 5 2 5" xfId="22663"/>
    <cellStyle name="常规 6 2 5 5 2 6" xfId="22664"/>
    <cellStyle name="常规 6 2 5 5 3" xfId="22665"/>
    <cellStyle name="常规 6 2 5 5 4" xfId="22666"/>
    <cellStyle name="常规 6 2 5 5 5" xfId="22667"/>
    <cellStyle name="常规 6 2 5 5 6" xfId="22668"/>
    <cellStyle name="常规 6 2 5 5 7" xfId="22669"/>
    <cellStyle name="常规 6 2 5 6" xfId="22670"/>
    <cellStyle name="常规 6 2 5 6 2" xfId="22671"/>
    <cellStyle name="常规 6 2 5 6 2 2" xfId="22672"/>
    <cellStyle name="常规 6 2 5 6 2 3" xfId="22673"/>
    <cellStyle name="常规 6 2 5 6 2 4" xfId="22674"/>
    <cellStyle name="常规 6 2 5 6 2 5" xfId="22675"/>
    <cellStyle name="常规 6 2 5 6 2 6" xfId="22676"/>
    <cellStyle name="常规 6 2 5 6 3" xfId="22677"/>
    <cellStyle name="常规 6 2 5 6 4" xfId="22678"/>
    <cellStyle name="常规 6 2 5 6 5" xfId="22679"/>
    <cellStyle name="常规 6 2 5 6 6" xfId="22680"/>
    <cellStyle name="常规 6 2 5 6 7" xfId="22681"/>
    <cellStyle name="常规 6 2 5 7" xfId="22682"/>
    <cellStyle name="常规 6 2 5 7 2" xfId="22683"/>
    <cellStyle name="常规 6 2 5 7 2 2" xfId="22684"/>
    <cellStyle name="常规 6 2 5 7 2 3" xfId="22685"/>
    <cellStyle name="常规 6 2 5 7 2 4" xfId="22686"/>
    <cellStyle name="常规 6 2 5 7 2 5" xfId="22687"/>
    <cellStyle name="常规 6 2 5 7 2 6" xfId="22688"/>
    <cellStyle name="常规 6 2 5 7 3" xfId="22689"/>
    <cellStyle name="常规 6 2 5 7 4" xfId="22690"/>
    <cellStyle name="常规 6 2 5 7 5" xfId="22691"/>
    <cellStyle name="常规 6 2 5 7 6" xfId="22692"/>
    <cellStyle name="常规 6 2 5 7 7" xfId="22693"/>
    <cellStyle name="常规 6 2 5 8" xfId="22694"/>
    <cellStyle name="常规 6 2 5 8 2" xfId="22695"/>
    <cellStyle name="常规 6 2 5 8 2 2" xfId="22696"/>
    <cellStyle name="常规 6 2 5 8 2 3" xfId="22697"/>
    <cellStyle name="常规 6 2 5 8 2 4" xfId="22698"/>
    <cellStyle name="常规 6 2 5 8 2 5" xfId="22699"/>
    <cellStyle name="常规 6 2 5 8 2 6" xfId="22700"/>
    <cellStyle name="常规 6 2 5 8 3" xfId="22701"/>
    <cellStyle name="常规 6 2 5 8 4" xfId="22702"/>
    <cellStyle name="常规 6 2 5 8 5" xfId="22703"/>
    <cellStyle name="常规 6 2 5 8 6" xfId="22704"/>
    <cellStyle name="常规 6 2 5 8 7" xfId="22705"/>
    <cellStyle name="常规 6 2 5 9" xfId="22706"/>
    <cellStyle name="常规 6 2 5 9 2" xfId="22707"/>
    <cellStyle name="常规 6 2 5 9 2 2" xfId="22708"/>
    <cellStyle name="常规 6 2 5 9 2 3" xfId="22709"/>
    <cellStyle name="常规 6 2 5 9 2 4" xfId="22710"/>
    <cellStyle name="常规 6 2 5 9 2 5" xfId="22711"/>
    <cellStyle name="常规 6 2 5 9 2 6" xfId="22712"/>
    <cellStyle name="常规 6 2 5 9 3" xfId="22713"/>
    <cellStyle name="常规 6 2 5 9 4" xfId="22714"/>
    <cellStyle name="常规 6 2 5 9 5" xfId="22715"/>
    <cellStyle name="常规 6 2 5 9 6" xfId="22716"/>
    <cellStyle name="常规 6 2 5 9 7" xfId="22717"/>
    <cellStyle name="常规 6 2 6" xfId="22718"/>
    <cellStyle name="常规 6 2 6 10" xfId="22719"/>
    <cellStyle name="常规 6 2 6 11" xfId="22720"/>
    <cellStyle name="常规 6 2 6 12" xfId="22721"/>
    <cellStyle name="常规 6 2 6 13" xfId="22722"/>
    <cellStyle name="常规 6 2 6 14" xfId="22723"/>
    <cellStyle name="常规 6 2 6 15" xfId="22724"/>
    <cellStyle name="常规 6 2 6 16" xfId="22725"/>
    <cellStyle name="常规 6 2 6 2" xfId="22726"/>
    <cellStyle name="常规 6 2 6 2 2" xfId="22727"/>
    <cellStyle name="常规 6 2 6 2 2 2" xfId="22728"/>
    <cellStyle name="常规 6 2 6 2 2 3" xfId="22729"/>
    <cellStyle name="常规 6 2 6 2 2 4" xfId="22730"/>
    <cellStyle name="常规 6 2 6 2 2 5" xfId="22731"/>
    <cellStyle name="常规 6 2 6 2 2 6" xfId="22732"/>
    <cellStyle name="常规 6 2 6 2 3" xfId="22733"/>
    <cellStyle name="常规 6 2 6 2 4" xfId="22734"/>
    <cellStyle name="常规 6 2 6 2 5" xfId="22735"/>
    <cellStyle name="常规 6 2 6 2 6" xfId="22736"/>
    <cellStyle name="常规 6 2 6 2 7" xfId="22737"/>
    <cellStyle name="常规 6 2 6 3" xfId="22738"/>
    <cellStyle name="常规 6 2 6 3 2" xfId="22739"/>
    <cellStyle name="常规 6 2 6 3 2 2" xfId="22740"/>
    <cellStyle name="常规 6 2 6 3 2 3" xfId="22741"/>
    <cellStyle name="常规 6 2 6 3 2 4" xfId="22742"/>
    <cellStyle name="常规 6 2 6 3 2 5" xfId="22743"/>
    <cellStyle name="常规 6 2 6 3 2 6" xfId="22744"/>
    <cellStyle name="常规 6 2 6 3 3" xfId="22745"/>
    <cellStyle name="常规 6 2 6 3 4" xfId="22746"/>
    <cellStyle name="常规 6 2 6 3 5" xfId="22747"/>
    <cellStyle name="常规 6 2 6 3 6" xfId="22748"/>
    <cellStyle name="常规 6 2 6 3 7" xfId="22749"/>
    <cellStyle name="常规 6 2 6 4" xfId="22750"/>
    <cellStyle name="常规 6 2 6 4 2" xfId="22751"/>
    <cellStyle name="常规 6 2 6 4 2 2" xfId="22752"/>
    <cellStyle name="常规 6 2 6 4 2 3" xfId="22753"/>
    <cellStyle name="常规 6 2 6 4 2 4" xfId="22754"/>
    <cellStyle name="常规 6 2 6 4 2 5" xfId="22755"/>
    <cellStyle name="常规 6 2 6 4 2 6" xfId="22756"/>
    <cellStyle name="常规 6 2 6 4 3" xfId="22757"/>
    <cellStyle name="常规 6 2 6 4 4" xfId="22758"/>
    <cellStyle name="常规 6 2 6 4 5" xfId="22759"/>
    <cellStyle name="常规 6 2 6 4 6" xfId="22760"/>
    <cellStyle name="常规 6 2 6 4 7" xfId="22761"/>
    <cellStyle name="常规 6 2 6 5" xfId="22762"/>
    <cellStyle name="常规 6 2 6 5 2" xfId="22763"/>
    <cellStyle name="常规 6 2 6 5 2 2" xfId="22764"/>
    <cellStyle name="常规 6 2 6 5 2 3" xfId="22765"/>
    <cellStyle name="常规 6 2 6 5 2 4" xfId="22766"/>
    <cellStyle name="常规 6 2 6 5 2 5" xfId="22767"/>
    <cellStyle name="常规 6 2 6 5 2 6" xfId="22768"/>
    <cellStyle name="常规 6 2 6 5 3" xfId="22769"/>
    <cellStyle name="常规 6 2 6 5 4" xfId="22770"/>
    <cellStyle name="常规 6 2 6 5 5" xfId="22771"/>
    <cellStyle name="常规 6 2 6 5 6" xfId="22772"/>
    <cellStyle name="常规 6 2 6 5 7" xfId="22773"/>
    <cellStyle name="常规 6 2 6 6" xfId="22774"/>
    <cellStyle name="常规 6 2 6 6 2" xfId="22775"/>
    <cellStyle name="常规 6 2 6 6 2 2" xfId="22776"/>
    <cellStyle name="常规 6 2 6 6 2 3" xfId="22777"/>
    <cellStyle name="常规 6 2 6 6 2 4" xfId="22778"/>
    <cellStyle name="常规 6 2 6 6 2 5" xfId="22779"/>
    <cellStyle name="常规 6 2 6 6 2 6" xfId="22780"/>
    <cellStyle name="常规 6 2 6 6 3" xfId="22781"/>
    <cellStyle name="常规 6 2 6 6 4" xfId="22782"/>
    <cellStyle name="常规 6 2 6 6 5" xfId="22783"/>
    <cellStyle name="常规 6 2 6 6 6" xfId="22784"/>
    <cellStyle name="常规 6 2 6 6 7" xfId="22785"/>
    <cellStyle name="常规 6 2 6 7" xfId="22786"/>
    <cellStyle name="常规 6 2 6 7 2" xfId="22787"/>
    <cellStyle name="常规 6 2 6 7 2 2" xfId="22788"/>
    <cellStyle name="常规 6 2 6 7 2 3" xfId="22789"/>
    <cellStyle name="常规 6 2 6 7 2 4" xfId="22790"/>
    <cellStyle name="常规 6 2 6 7 2 5" xfId="22791"/>
    <cellStyle name="常规 6 2 6 7 2 6" xfId="22792"/>
    <cellStyle name="常规 6 2 6 7 3" xfId="22793"/>
    <cellStyle name="常规 6 2 6 7 4" xfId="22794"/>
    <cellStyle name="常规 6 2 6 7 5" xfId="22795"/>
    <cellStyle name="常规 6 2 6 7 6" xfId="22796"/>
    <cellStyle name="常规 6 2 6 7 7" xfId="22797"/>
    <cellStyle name="常规 6 2 6 8" xfId="22798"/>
    <cellStyle name="常规 6 2 6 8 2" xfId="22799"/>
    <cellStyle name="常规 6 2 6 8 2 2" xfId="22800"/>
    <cellStyle name="常规 6 2 6 8 2 3" xfId="22801"/>
    <cellStyle name="常规 6 2 6 8 2 4" xfId="22802"/>
    <cellStyle name="常规 6 2 6 8 2 5" xfId="22803"/>
    <cellStyle name="常规 6 2 6 8 2 6" xfId="22804"/>
    <cellStyle name="常规 6 2 6 8 3" xfId="22805"/>
    <cellStyle name="常规 6 2 6 8 4" xfId="22806"/>
    <cellStyle name="常规 6 2 6 8 5" xfId="22807"/>
    <cellStyle name="常规 6 2 6 8 6" xfId="22808"/>
    <cellStyle name="常规 6 2 6 8 7" xfId="22809"/>
    <cellStyle name="常规 6 2 6 9" xfId="22810"/>
    <cellStyle name="常规 6 2 6 9 2" xfId="22811"/>
    <cellStyle name="常规 6 2 6 9 3" xfId="22812"/>
    <cellStyle name="常规 6 2 6 9 4" xfId="22813"/>
    <cellStyle name="常规 6 2 6 9 5" xfId="22814"/>
    <cellStyle name="常规 6 2 6 9 6" xfId="22815"/>
    <cellStyle name="常规 6 2 7" xfId="22816"/>
    <cellStyle name="常规 6 2 7 10" xfId="22817"/>
    <cellStyle name="常规 6 2 7 11" xfId="22818"/>
    <cellStyle name="常规 6 2 7 12" xfId="22819"/>
    <cellStyle name="常规 6 2 7 13" xfId="22820"/>
    <cellStyle name="常规 6 2 7 14" xfId="22821"/>
    <cellStyle name="常规 6 2 7 2" xfId="22822"/>
    <cellStyle name="常规 6 2 7 2 2" xfId="22823"/>
    <cellStyle name="常规 6 2 7 2 2 2" xfId="22824"/>
    <cellStyle name="常规 6 2 7 2 2 3" xfId="22825"/>
    <cellStyle name="常规 6 2 7 2 2 4" xfId="22826"/>
    <cellStyle name="常规 6 2 7 2 2 5" xfId="22827"/>
    <cellStyle name="常规 6 2 7 2 2 6" xfId="22828"/>
    <cellStyle name="常规 6 2 7 2 3" xfId="22829"/>
    <cellStyle name="常规 6 2 7 2 4" xfId="22830"/>
    <cellStyle name="常规 6 2 7 2 5" xfId="22831"/>
    <cellStyle name="常规 6 2 7 2 6" xfId="22832"/>
    <cellStyle name="常规 6 2 7 2 7" xfId="22833"/>
    <cellStyle name="常规 6 2 7 3" xfId="22834"/>
    <cellStyle name="常规 6 2 7 3 2" xfId="22835"/>
    <cellStyle name="常规 6 2 7 3 2 2" xfId="22836"/>
    <cellStyle name="常规 6 2 7 3 2 3" xfId="22837"/>
    <cellStyle name="常规 6 2 7 3 2 4" xfId="22838"/>
    <cellStyle name="常规 6 2 7 3 2 5" xfId="22839"/>
    <cellStyle name="常规 6 2 7 3 2 6" xfId="22840"/>
    <cellStyle name="常规 6 2 7 3 3" xfId="22841"/>
    <cellStyle name="常规 6 2 7 3 4" xfId="22842"/>
    <cellStyle name="常规 6 2 7 3 5" xfId="22843"/>
    <cellStyle name="常规 6 2 7 3 6" xfId="22844"/>
    <cellStyle name="常规 6 2 7 3 7" xfId="22845"/>
    <cellStyle name="常规 6 2 7 4" xfId="22846"/>
    <cellStyle name="常规 6 2 7 4 2" xfId="22847"/>
    <cellStyle name="常规 6 2 7 4 2 2" xfId="22848"/>
    <cellStyle name="常规 6 2 7 4 2 3" xfId="22849"/>
    <cellStyle name="常规 6 2 7 4 2 4" xfId="22850"/>
    <cellStyle name="常规 6 2 7 4 2 5" xfId="22851"/>
    <cellStyle name="常规 6 2 7 4 2 6" xfId="22852"/>
    <cellStyle name="常规 6 2 7 4 3" xfId="22853"/>
    <cellStyle name="常规 6 2 7 4 4" xfId="22854"/>
    <cellStyle name="常规 6 2 7 4 5" xfId="22855"/>
    <cellStyle name="常规 6 2 7 4 6" xfId="22856"/>
    <cellStyle name="常规 6 2 7 4 7" xfId="22857"/>
    <cellStyle name="常规 6 2 7 5" xfId="22858"/>
    <cellStyle name="常规 6 2 7 5 2" xfId="22859"/>
    <cellStyle name="常规 6 2 7 5 2 2" xfId="22860"/>
    <cellStyle name="常规 6 2 7 5 2 3" xfId="22861"/>
    <cellStyle name="常规 6 2 7 5 2 4" xfId="22862"/>
    <cellStyle name="常规 6 2 7 5 2 5" xfId="22863"/>
    <cellStyle name="常规 6 2 7 5 2 6" xfId="22864"/>
    <cellStyle name="常规 6 2 7 5 3" xfId="22865"/>
    <cellStyle name="常规 6 2 7 5 4" xfId="22866"/>
    <cellStyle name="常规 6 2 7 5 5" xfId="22867"/>
    <cellStyle name="常规 6 2 7 5 6" xfId="22868"/>
    <cellStyle name="常规 6 2 7 5 7" xfId="22869"/>
    <cellStyle name="常规 6 2 7 6" xfId="22870"/>
    <cellStyle name="常规 6 2 7 6 2" xfId="22871"/>
    <cellStyle name="常规 6 2 7 6 2 2" xfId="22872"/>
    <cellStyle name="常规 6 2 7 6 2 3" xfId="22873"/>
    <cellStyle name="常规 6 2 7 6 2 4" xfId="22874"/>
    <cellStyle name="常规 6 2 7 6 2 5" xfId="22875"/>
    <cellStyle name="常规 6 2 7 6 2 6" xfId="22876"/>
    <cellStyle name="常规 6 2 7 6 3" xfId="22877"/>
    <cellStyle name="常规 6 2 7 6 4" xfId="22878"/>
    <cellStyle name="常规 6 2 7 6 5" xfId="22879"/>
    <cellStyle name="常规 6 2 7 6 6" xfId="22880"/>
    <cellStyle name="常规 6 2 7 6 7" xfId="22881"/>
    <cellStyle name="常规 6 2 7 7" xfId="22882"/>
    <cellStyle name="常规 6 2 7 7 2" xfId="22883"/>
    <cellStyle name="常规 6 2 7 7 2 2" xfId="22884"/>
    <cellStyle name="常规 6 2 7 7 2 3" xfId="22885"/>
    <cellStyle name="常规 6 2 7 7 2 4" xfId="22886"/>
    <cellStyle name="常规 6 2 7 7 2 5" xfId="22887"/>
    <cellStyle name="常规 6 2 7 7 2 6" xfId="22888"/>
    <cellStyle name="常规 6 2 7 7 3" xfId="22889"/>
    <cellStyle name="常规 6 2 7 7 4" xfId="22890"/>
    <cellStyle name="常规 6 2 7 7 5" xfId="22891"/>
    <cellStyle name="常规 6 2 7 7 6" xfId="22892"/>
    <cellStyle name="常规 6 2 7 7 7" xfId="22893"/>
    <cellStyle name="常规 6 2 7 8" xfId="22894"/>
    <cellStyle name="常规 6 2 7 8 2" xfId="22895"/>
    <cellStyle name="常规 6 2 7 8 3" xfId="22896"/>
    <cellStyle name="常规 6 2 7 8 4" xfId="22897"/>
    <cellStyle name="常规 6 2 7 8 5" xfId="22898"/>
    <cellStyle name="常规 6 2 7 8 6" xfId="22899"/>
    <cellStyle name="常规 6 2 7 9" xfId="22900"/>
    <cellStyle name="常规 6 2 8" xfId="22901"/>
    <cellStyle name="常规 6 2 8 10" xfId="22902"/>
    <cellStyle name="常规 6 2 8 11" xfId="22903"/>
    <cellStyle name="常规 6 2 8 12" xfId="22904"/>
    <cellStyle name="常规 6 2 8 13" xfId="22905"/>
    <cellStyle name="常规 6 2 8 2" xfId="22906"/>
    <cellStyle name="常规 6 2 8 2 2" xfId="22907"/>
    <cellStyle name="常规 6 2 8 2 2 2" xfId="22908"/>
    <cellStyle name="常规 6 2 8 2 2 3" xfId="22909"/>
    <cellStyle name="常规 6 2 8 2 2 4" xfId="22910"/>
    <cellStyle name="常规 6 2 8 2 2 5" xfId="22911"/>
    <cellStyle name="常规 6 2 8 2 2 6" xfId="22912"/>
    <cellStyle name="常规 6 2 8 2 3" xfId="22913"/>
    <cellStyle name="常规 6 2 8 2 4" xfId="22914"/>
    <cellStyle name="常规 6 2 8 2 5" xfId="22915"/>
    <cellStyle name="常规 6 2 8 2 6" xfId="22916"/>
    <cellStyle name="常规 6 2 8 2 7" xfId="22917"/>
    <cellStyle name="常规 6 2 8 3" xfId="22918"/>
    <cellStyle name="常规 6 2 8 3 2" xfId="22919"/>
    <cellStyle name="常规 6 2 8 3 2 2" xfId="22920"/>
    <cellStyle name="常规 6 2 8 3 2 3" xfId="22921"/>
    <cellStyle name="常规 6 2 8 3 2 4" xfId="22922"/>
    <cellStyle name="常规 6 2 8 3 2 5" xfId="22923"/>
    <cellStyle name="常规 6 2 8 3 2 6" xfId="22924"/>
    <cellStyle name="常规 6 2 8 3 3" xfId="22925"/>
    <cellStyle name="常规 6 2 8 3 4" xfId="22926"/>
    <cellStyle name="常规 6 2 8 3 5" xfId="22927"/>
    <cellStyle name="常规 6 2 8 3 6" xfId="22928"/>
    <cellStyle name="常规 6 2 8 3 7" xfId="22929"/>
    <cellStyle name="常规 6 2 8 4" xfId="22930"/>
    <cellStyle name="常规 6 2 8 4 2" xfId="22931"/>
    <cellStyle name="常规 6 2 8 4 2 2" xfId="22932"/>
    <cellStyle name="常规 6 2 8 4 2 3" xfId="22933"/>
    <cellStyle name="常规 6 2 8 4 2 4" xfId="22934"/>
    <cellStyle name="常规 6 2 8 4 2 5" xfId="22935"/>
    <cellStyle name="常规 6 2 8 4 2 6" xfId="22936"/>
    <cellStyle name="常规 6 2 8 4 3" xfId="22937"/>
    <cellStyle name="常规 6 2 8 4 4" xfId="22938"/>
    <cellStyle name="常规 6 2 8 4 5" xfId="22939"/>
    <cellStyle name="常规 6 2 8 4 6" xfId="22940"/>
    <cellStyle name="常规 6 2 8 4 7" xfId="22941"/>
    <cellStyle name="常规 6 2 8 5" xfId="22942"/>
    <cellStyle name="常规 6 2 8 5 2" xfId="22943"/>
    <cellStyle name="常规 6 2 8 5 2 2" xfId="22944"/>
    <cellStyle name="常规 6 2 8 5 2 3" xfId="22945"/>
    <cellStyle name="常规 6 2 8 5 2 4" xfId="22946"/>
    <cellStyle name="常规 6 2 8 5 2 5" xfId="22947"/>
    <cellStyle name="常规 6 2 8 5 2 6" xfId="22948"/>
    <cellStyle name="常规 6 2 8 5 3" xfId="22949"/>
    <cellStyle name="常规 6 2 8 5 4" xfId="22950"/>
    <cellStyle name="常规 6 2 8 5 5" xfId="22951"/>
    <cellStyle name="常规 6 2 8 5 6" xfId="22952"/>
    <cellStyle name="常规 6 2 8 5 7" xfId="22953"/>
    <cellStyle name="常规 6 2 8 6" xfId="22954"/>
    <cellStyle name="常规 6 2 8 6 2" xfId="22955"/>
    <cellStyle name="常规 6 2 8 6 2 2" xfId="22956"/>
    <cellStyle name="常规 6 2 8 6 2 3" xfId="22957"/>
    <cellStyle name="常规 6 2 8 6 2 4" xfId="22958"/>
    <cellStyle name="常规 6 2 8 6 2 5" xfId="22959"/>
    <cellStyle name="常规 6 2 8 6 2 6" xfId="22960"/>
    <cellStyle name="常规 6 2 8 6 3" xfId="22961"/>
    <cellStyle name="常规 6 2 8 6 4" xfId="22962"/>
    <cellStyle name="常规 6 2 8 6 5" xfId="22963"/>
    <cellStyle name="常规 6 2 8 6 6" xfId="22964"/>
    <cellStyle name="常规 6 2 8 6 7" xfId="22965"/>
    <cellStyle name="常规 6 2 8 7" xfId="22966"/>
    <cellStyle name="常规 6 2 8 7 2" xfId="22967"/>
    <cellStyle name="常规 6 2 8 7 3" xfId="22968"/>
    <cellStyle name="常规 6 2 8 7 4" xfId="22969"/>
    <cellStyle name="常规 6 2 8 7 5" xfId="22970"/>
    <cellStyle name="常规 6 2 8 7 6" xfId="22971"/>
    <cellStyle name="常规 6 2 8 8" xfId="22972"/>
    <cellStyle name="常规 6 2 8 9" xfId="22973"/>
    <cellStyle name="常规 6 2 9" xfId="22974"/>
    <cellStyle name="常规 6 2 9 10" xfId="22975"/>
    <cellStyle name="常规 6 2 9 11" xfId="22976"/>
    <cellStyle name="常规 6 2 9 12" xfId="22977"/>
    <cellStyle name="常规 6 2 9 2" xfId="22978"/>
    <cellStyle name="常规 6 2 9 2 2" xfId="22979"/>
    <cellStyle name="常规 6 2 9 2 2 2" xfId="22980"/>
    <cellStyle name="常规 6 2 9 2 2 3" xfId="22981"/>
    <cellStyle name="常规 6 2 9 2 2 4" xfId="22982"/>
    <cellStyle name="常规 6 2 9 2 2 5" xfId="22983"/>
    <cellStyle name="常规 6 2 9 2 2 6" xfId="22984"/>
    <cellStyle name="常规 6 2 9 2 3" xfId="22985"/>
    <cellStyle name="常规 6 2 9 2 4" xfId="22986"/>
    <cellStyle name="常规 6 2 9 2 5" xfId="22987"/>
    <cellStyle name="常规 6 2 9 2 6" xfId="22988"/>
    <cellStyle name="常规 6 2 9 2 7" xfId="22989"/>
    <cellStyle name="常规 6 2 9 3" xfId="22990"/>
    <cellStyle name="常规 6 2 9 3 2" xfId="22991"/>
    <cellStyle name="常规 6 2 9 3 2 2" xfId="22992"/>
    <cellStyle name="常规 6 2 9 3 2 3" xfId="22993"/>
    <cellStyle name="常规 6 2 9 3 2 4" xfId="22994"/>
    <cellStyle name="常规 6 2 9 3 2 5" xfId="22995"/>
    <cellStyle name="常规 6 2 9 3 2 6" xfId="22996"/>
    <cellStyle name="常规 6 2 9 3 3" xfId="22997"/>
    <cellStyle name="常规 6 2 9 3 4" xfId="22998"/>
    <cellStyle name="常规 6 2 9 3 5" xfId="22999"/>
    <cellStyle name="常规 6 2 9 3 6" xfId="23000"/>
    <cellStyle name="常规 6 2 9 3 7" xfId="23001"/>
    <cellStyle name="常规 6 2 9 4" xfId="23002"/>
    <cellStyle name="常规 6 2 9 4 2" xfId="23003"/>
    <cellStyle name="常规 6 2 9 4 2 2" xfId="23004"/>
    <cellStyle name="常规 6 2 9 4 2 3" xfId="23005"/>
    <cellStyle name="常规 6 2 9 4 2 4" xfId="23006"/>
    <cellStyle name="常规 6 2 9 4 2 5" xfId="23007"/>
    <cellStyle name="常规 6 2 9 4 2 6" xfId="23008"/>
    <cellStyle name="常规 6 2 9 4 3" xfId="23009"/>
    <cellStyle name="常规 6 2 9 4 4" xfId="23010"/>
    <cellStyle name="常规 6 2 9 4 5" xfId="23011"/>
    <cellStyle name="常规 6 2 9 4 6" xfId="23012"/>
    <cellStyle name="常规 6 2 9 4 7" xfId="23013"/>
    <cellStyle name="常规 6 2 9 5" xfId="23014"/>
    <cellStyle name="常规 6 2 9 5 2" xfId="23015"/>
    <cellStyle name="常规 6 2 9 5 2 2" xfId="23016"/>
    <cellStyle name="常规 6 2 9 5 2 3" xfId="23017"/>
    <cellStyle name="常规 6 2 9 5 2 4" xfId="23018"/>
    <cellStyle name="常规 6 2 9 5 2 5" xfId="23019"/>
    <cellStyle name="常规 6 2 9 5 2 6" xfId="23020"/>
    <cellStyle name="常规 6 2 9 5 3" xfId="23021"/>
    <cellStyle name="常规 6 2 9 5 4" xfId="23022"/>
    <cellStyle name="常规 6 2 9 5 5" xfId="23023"/>
    <cellStyle name="常规 6 2 9 5 6" xfId="23024"/>
    <cellStyle name="常规 6 2 9 5 7" xfId="23025"/>
    <cellStyle name="常规 6 2 9 6" xfId="23026"/>
    <cellStyle name="常规 6 2 9 6 2" xfId="23027"/>
    <cellStyle name="常规 6 2 9 6 3" xfId="23028"/>
    <cellStyle name="常规 6 2 9 6 4" xfId="23029"/>
    <cellStyle name="常规 6 2 9 6 5" xfId="23030"/>
    <cellStyle name="常规 6 2 9 6 6" xfId="23031"/>
    <cellStyle name="常规 6 2 9 7" xfId="23032"/>
    <cellStyle name="常规 6 2 9 8" xfId="23033"/>
    <cellStyle name="常规 6 2 9 9" xfId="23034"/>
    <cellStyle name="常规 6 20" xfId="23035"/>
    <cellStyle name="常规 6 20 2" xfId="23036"/>
    <cellStyle name="常规 6 20 2 2" xfId="23037"/>
    <cellStyle name="常规 6 20 2 3" xfId="23038"/>
    <cellStyle name="常规 6 20 2 4" xfId="23039"/>
    <cellStyle name="常规 6 20 2 5" xfId="23040"/>
    <cellStyle name="常规 6 20 2 6" xfId="23041"/>
    <cellStyle name="常规 6 20 3" xfId="23042"/>
    <cellStyle name="常规 6 20 4" xfId="23043"/>
    <cellStyle name="常规 6 20 5" xfId="23044"/>
    <cellStyle name="常规 6 20 6" xfId="23045"/>
    <cellStyle name="常规 6 20 7" xfId="23046"/>
    <cellStyle name="常规 6 21" xfId="23047"/>
    <cellStyle name="常规 6 21 2" xfId="23048"/>
    <cellStyle name="常规 6 21 2 2" xfId="23049"/>
    <cellStyle name="常规 6 21 2 3" xfId="23050"/>
    <cellStyle name="常规 6 21 2 4" xfId="23051"/>
    <cellStyle name="常规 6 21 2 5" xfId="23052"/>
    <cellStyle name="常规 6 21 2 6" xfId="23053"/>
    <cellStyle name="常规 6 21 3" xfId="23054"/>
    <cellStyle name="常规 6 21 4" xfId="23055"/>
    <cellStyle name="常规 6 21 5" xfId="23056"/>
    <cellStyle name="常规 6 21 6" xfId="23057"/>
    <cellStyle name="常规 6 21 7" xfId="23058"/>
    <cellStyle name="常规 6 22" xfId="23059"/>
    <cellStyle name="常规 6 23" xfId="23060"/>
    <cellStyle name="常规 6 3" xfId="23061"/>
    <cellStyle name="常规 6 3 10" xfId="23062"/>
    <cellStyle name="常规 6 3 10 2" xfId="23063"/>
    <cellStyle name="常规 6 3 10 2 2" xfId="23064"/>
    <cellStyle name="常规 6 3 10 2 2 2" xfId="23065"/>
    <cellStyle name="常规 6 3 10 2 2 3" xfId="23066"/>
    <cellStyle name="常规 6 3 10 2 2 4" xfId="23067"/>
    <cellStyle name="常规 6 3 10 2 2 5" xfId="23068"/>
    <cellStyle name="常规 6 3 10 2 2 6" xfId="23069"/>
    <cellStyle name="常规 6 3 10 2 3" xfId="23070"/>
    <cellStyle name="常规 6 3 10 2 4" xfId="23071"/>
    <cellStyle name="常规 6 3 10 2 5" xfId="23072"/>
    <cellStyle name="常规 6 3 10 2 6" xfId="23073"/>
    <cellStyle name="常规 6 3 10 2 7" xfId="23074"/>
    <cellStyle name="常规 6 3 10 3" xfId="23075"/>
    <cellStyle name="常规 6 3 10 3 2" xfId="23076"/>
    <cellStyle name="常规 6 3 10 3 2 2" xfId="23077"/>
    <cellStyle name="常规 6 3 10 3 2 3" xfId="23078"/>
    <cellStyle name="常规 6 3 10 3 2 4" xfId="23079"/>
    <cellStyle name="常规 6 3 10 3 2 5" xfId="23080"/>
    <cellStyle name="常规 6 3 10 3 2 6" xfId="23081"/>
    <cellStyle name="常规 6 3 10 3 3" xfId="23082"/>
    <cellStyle name="常规 6 3 10 3 4" xfId="23083"/>
    <cellStyle name="常规 6 3 10 3 5" xfId="23084"/>
    <cellStyle name="常规 6 3 10 3 6" xfId="23085"/>
    <cellStyle name="常规 6 3 10 3 7" xfId="23086"/>
    <cellStyle name="常规 6 3 10 4" xfId="23087"/>
    <cellStyle name="常规 6 3 10 4 2" xfId="23088"/>
    <cellStyle name="常规 6 3 10 4 3" xfId="23089"/>
    <cellStyle name="常规 6 3 10 4 4" xfId="23090"/>
    <cellStyle name="常规 6 3 10 4 5" xfId="23091"/>
    <cellStyle name="常规 6 3 10 4 6" xfId="23092"/>
    <cellStyle name="常规 6 3 10 5" xfId="23093"/>
    <cellStyle name="常规 6 3 10 6" xfId="23094"/>
    <cellStyle name="常规 6 3 10 7" xfId="23095"/>
    <cellStyle name="常规 6 3 10 8" xfId="23096"/>
    <cellStyle name="常规 6 3 10 9" xfId="23097"/>
    <cellStyle name="常规 6 3 11" xfId="23098"/>
    <cellStyle name="常规 6 3 11 2" xfId="23099"/>
    <cellStyle name="常规 6 3 11 2 2" xfId="23100"/>
    <cellStyle name="常规 6 3 11 2 2 2" xfId="23101"/>
    <cellStyle name="常规 6 3 11 2 2 3" xfId="23102"/>
    <cellStyle name="常规 6 3 11 2 2 4" xfId="23103"/>
    <cellStyle name="常规 6 3 11 2 2 5" xfId="23104"/>
    <cellStyle name="常规 6 3 11 2 2 6" xfId="23105"/>
    <cellStyle name="常规 6 3 11 2 3" xfId="23106"/>
    <cellStyle name="常规 6 3 11 2 4" xfId="23107"/>
    <cellStyle name="常规 6 3 11 2 5" xfId="23108"/>
    <cellStyle name="常规 6 3 11 2 6" xfId="23109"/>
    <cellStyle name="常规 6 3 11 2 7" xfId="23110"/>
    <cellStyle name="常规 6 3 11 3" xfId="23111"/>
    <cellStyle name="常规 6 3 11 3 2" xfId="23112"/>
    <cellStyle name="常规 6 3 11 3 3" xfId="23113"/>
    <cellStyle name="常规 6 3 11 3 4" xfId="23114"/>
    <cellStyle name="常规 6 3 11 3 5" xfId="23115"/>
    <cellStyle name="常规 6 3 11 3 6" xfId="23116"/>
    <cellStyle name="常规 6 3 11 4" xfId="23117"/>
    <cellStyle name="常规 6 3 11 5" xfId="23118"/>
    <cellStyle name="常规 6 3 11 6" xfId="23119"/>
    <cellStyle name="常规 6 3 11 7" xfId="23120"/>
    <cellStyle name="常规 6 3 11 8" xfId="23121"/>
    <cellStyle name="常规 6 3 12" xfId="23122"/>
    <cellStyle name="常规 6 3 12 2" xfId="23123"/>
    <cellStyle name="常规 6 3 12 2 2" xfId="23124"/>
    <cellStyle name="常规 6 3 12 2 2 2" xfId="23125"/>
    <cellStyle name="常规 6 3 12 2 2 3" xfId="23126"/>
    <cellStyle name="常规 6 3 12 2 2 4" xfId="23127"/>
    <cellStyle name="常规 6 3 12 2 2 5" xfId="23128"/>
    <cellStyle name="常规 6 3 12 2 2 6" xfId="23129"/>
    <cellStyle name="常规 6 3 12 2 3" xfId="23130"/>
    <cellStyle name="常规 6 3 12 2 4" xfId="23131"/>
    <cellStyle name="常规 6 3 12 2 5" xfId="23132"/>
    <cellStyle name="常规 6 3 12 2 6" xfId="23133"/>
    <cellStyle name="常规 6 3 12 2 7" xfId="23134"/>
    <cellStyle name="常规 6 3 12 3" xfId="23135"/>
    <cellStyle name="常规 6 3 12 3 2" xfId="23136"/>
    <cellStyle name="常规 6 3 12 3 3" xfId="23137"/>
    <cellStyle name="常规 6 3 12 3 4" xfId="23138"/>
    <cellStyle name="常规 6 3 12 3 5" xfId="23139"/>
    <cellStyle name="常规 6 3 12 3 6" xfId="23140"/>
    <cellStyle name="常规 6 3 12 4" xfId="23141"/>
    <cellStyle name="常规 6 3 12 5" xfId="23142"/>
    <cellStyle name="常规 6 3 12 6" xfId="23143"/>
    <cellStyle name="常规 6 3 12 7" xfId="23144"/>
    <cellStyle name="常规 6 3 12 8" xfId="23145"/>
    <cellStyle name="常规 6 3 13" xfId="23146"/>
    <cellStyle name="常规 6 3 13 2" xfId="23147"/>
    <cellStyle name="常规 6 3 13 2 2" xfId="23148"/>
    <cellStyle name="常规 6 3 13 2 2 2" xfId="23149"/>
    <cellStyle name="常规 6 3 13 2 2 3" xfId="23150"/>
    <cellStyle name="常规 6 3 13 2 2 4" xfId="23151"/>
    <cellStyle name="常规 6 3 13 2 2 5" xfId="23152"/>
    <cellStyle name="常规 6 3 13 2 2 6" xfId="23153"/>
    <cellStyle name="常规 6 3 13 2 3" xfId="23154"/>
    <cellStyle name="常规 6 3 13 2 4" xfId="23155"/>
    <cellStyle name="常规 6 3 13 2 5" xfId="23156"/>
    <cellStyle name="常规 6 3 13 2 6" xfId="23157"/>
    <cellStyle name="常规 6 3 13 2 7" xfId="23158"/>
    <cellStyle name="常规 6 3 13 3" xfId="23159"/>
    <cellStyle name="常规 6 3 13 3 2" xfId="23160"/>
    <cellStyle name="常规 6 3 13 3 3" xfId="23161"/>
    <cellStyle name="常规 6 3 13 3 4" xfId="23162"/>
    <cellStyle name="常规 6 3 13 3 5" xfId="23163"/>
    <cellStyle name="常规 6 3 13 3 6" xfId="23164"/>
    <cellStyle name="常规 6 3 13 4" xfId="23165"/>
    <cellStyle name="常规 6 3 13 5" xfId="23166"/>
    <cellStyle name="常规 6 3 13 6" xfId="23167"/>
    <cellStyle name="常规 6 3 13 7" xfId="23168"/>
    <cellStyle name="常规 6 3 13 8" xfId="23169"/>
    <cellStyle name="常规 6 3 14" xfId="23170"/>
    <cellStyle name="常规 6 3 14 2" xfId="23171"/>
    <cellStyle name="常规 6 3 14 2 2" xfId="23172"/>
    <cellStyle name="常规 6 3 14 2 2 2" xfId="23173"/>
    <cellStyle name="常规 6 3 14 2 2 3" xfId="23174"/>
    <cellStyle name="常规 6 3 14 2 2 4" xfId="23175"/>
    <cellStyle name="常规 6 3 14 2 2 5" xfId="23176"/>
    <cellStyle name="常规 6 3 14 2 2 6" xfId="23177"/>
    <cellStyle name="常规 6 3 14 2 3" xfId="23178"/>
    <cellStyle name="常规 6 3 14 2 4" xfId="23179"/>
    <cellStyle name="常规 6 3 14 2 5" xfId="23180"/>
    <cellStyle name="常规 6 3 14 2 6" xfId="23181"/>
    <cellStyle name="常规 6 3 14 2 7" xfId="23182"/>
    <cellStyle name="常规 6 3 14 3" xfId="23183"/>
    <cellStyle name="常规 6 3 14 3 2" xfId="23184"/>
    <cellStyle name="常规 6 3 14 3 3" xfId="23185"/>
    <cellStyle name="常规 6 3 14 3 4" xfId="23186"/>
    <cellStyle name="常规 6 3 14 3 5" xfId="23187"/>
    <cellStyle name="常规 6 3 14 3 6" xfId="23188"/>
    <cellStyle name="常规 6 3 14 4" xfId="23189"/>
    <cellStyle name="常规 6 3 14 5" xfId="23190"/>
    <cellStyle name="常规 6 3 14 6" xfId="23191"/>
    <cellStyle name="常规 6 3 14 7" xfId="23192"/>
    <cellStyle name="常规 6 3 14 8" xfId="23193"/>
    <cellStyle name="常规 6 3 15" xfId="23194"/>
    <cellStyle name="常规 6 3 15 2" xfId="23195"/>
    <cellStyle name="常规 6 3 15 2 2" xfId="23196"/>
    <cellStyle name="常规 6 3 15 2 3" xfId="23197"/>
    <cellStyle name="常规 6 3 15 2 4" xfId="23198"/>
    <cellStyle name="常规 6 3 15 2 5" xfId="23199"/>
    <cellStyle name="常规 6 3 15 2 6" xfId="23200"/>
    <cellStyle name="常规 6 3 15 3" xfId="23201"/>
    <cellStyle name="常规 6 3 15 4" xfId="23202"/>
    <cellStyle name="常规 6 3 15 5" xfId="23203"/>
    <cellStyle name="常规 6 3 15 6" xfId="23204"/>
    <cellStyle name="常规 6 3 15 7" xfId="23205"/>
    <cellStyle name="常规 6 3 16" xfId="23206"/>
    <cellStyle name="常规 6 3 16 2" xfId="23207"/>
    <cellStyle name="常规 6 3 16 2 2" xfId="23208"/>
    <cellStyle name="常规 6 3 16 2 3" xfId="23209"/>
    <cellStyle name="常规 6 3 16 2 4" xfId="23210"/>
    <cellStyle name="常规 6 3 16 2 5" xfId="23211"/>
    <cellStyle name="常规 6 3 16 2 6" xfId="23212"/>
    <cellStyle name="常规 6 3 16 3" xfId="23213"/>
    <cellStyle name="常规 6 3 16 4" xfId="23214"/>
    <cellStyle name="常规 6 3 16 5" xfId="23215"/>
    <cellStyle name="常规 6 3 16 6" xfId="23216"/>
    <cellStyle name="常规 6 3 16 7" xfId="23217"/>
    <cellStyle name="常规 6 3 17" xfId="23218"/>
    <cellStyle name="常规 6 3 18" xfId="23219"/>
    <cellStyle name="常规 6 3 2" xfId="23220"/>
    <cellStyle name="常规 6 3 2 10" xfId="23221"/>
    <cellStyle name="常规 6 3 2 10 2" xfId="23222"/>
    <cellStyle name="常规 6 3 2 10 2 2" xfId="23223"/>
    <cellStyle name="常规 6 3 2 10 2 3" xfId="23224"/>
    <cellStyle name="常规 6 3 2 10 2 4" xfId="23225"/>
    <cellStyle name="常规 6 3 2 10 2 5" xfId="23226"/>
    <cellStyle name="常规 6 3 2 10 2 6" xfId="23227"/>
    <cellStyle name="常规 6 3 2 10 3" xfId="23228"/>
    <cellStyle name="常规 6 3 2 10 4" xfId="23229"/>
    <cellStyle name="常规 6 3 2 10 5" xfId="23230"/>
    <cellStyle name="常规 6 3 2 10 6" xfId="23231"/>
    <cellStyle name="常规 6 3 2 10 7" xfId="23232"/>
    <cellStyle name="常规 6 3 2 11" xfId="23233"/>
    <cellStyle name="常规 6 3 2 12" xfId="23234"/>
    <cellStyle name="常规 6 3 2 2" xfId="23235"/>
    <cellStyle name="常规 6 3 2 2 2" xfId="23236"/>
    <cellStyle name="常规 6 3 2 2 2 2" xfId="23237"/>
    <cellStyle name="常规 6 3 2 2 2 2 2" xfId="23238"/>
    <cellStyle name="常规 6 3 2 2 2 2 3" xfId="23239"/>
    <cellStyle name="常规 6 3 2 2 2 3" xfId="23240"/>
    <cellStyle name="常规 6 3 2 2 2 3 2" xfId="23241"/>
    <cellStyle name="常规 6 3 2 2 2 4" xfId="23242"/>
    <cellStyle name="常规 6 3 2 2 2 4 2" xfId="23243"/>
    <cellStyle name="常规 6 3 2 2 2 5" xfId="23244"/>
    <cellStyle name="常规 6 3 2 2 2 6" xfId="23245"/>
    <cellStyle name="常规 6 3 2 2 2 7" xfId="23246"/>
    <cellStyle name="常规 6 3 2 2 3" xfId="23247"/>
    <cellStyle name="常规 6 3 2 2 3 2" xfId="23248"/>
    <cellStyle name="常规 6 3 2 2 3 3" xfId="23249"/>
    <cellStyle name="常规 6 3 2 2 4" xfId="23250"/>
    <cellStyle name="常规 6 3 2 2 4 2" xfId="23251"/>
    <cellStyle name="常规 6 3 2 2 5" xfId="23252"/>
    <cellStyle name="常规 6 3 2 2 5 2" xfId="23253"/>
    <cellStyle name="常规 6 3 2 2 6" xfId="23254"/>
    <cellStyle name="常规 6 3 2 2 7" xfId="23255"/>
    <cellStyle name="常规 6 3 2 2 8" xfId="23256"/>
    <cellStyle name="常规 6 3 2 2 9" xfId="23257"/>
    <cellStyle name="常规 6 3 2 3" xfId="23258"/>
    <cellStyle name="常规 6 3 2 3 2" xfId="23259"/>
    <cellStyle name="常规 6 3 2 3 2 2" xfId="23260"/>
    <cellStyle name="常规 6 3 2 3 2 3" xfId="23261"/>
    <cellStyle name="常规 6 3 2 3 2 4" xfId="23262"/>
    <cellStyle name="常规 6 3 2 3 2 5" xfId="23263"/>
    <cellStyle name="常规 6 3 2 3 2 6" xfId="23264"/>
    <cellStyle name="常规 6 3 2 3 2 7" xfId="23265"/>
    <cellStyle name="常规 6 3 2 3 2 8" xfId="23266"/>
    <cellStyle name="常规 6 3 2 3 3" xfId="23267"/>
    <cellStyle name="常规 6 3 2 3 3 2" xfId="23268"/>
    <cellStyle name="常规 6 3 2 3 4" xfId="23269"/>
    <cellStyle name="常规 6 3 2 3 4 2" xfId="23270"/>
    <cellStyle name="常规 6 3 2 3 5" xfId="23271"/>
    <cellStyle name="常规 6 3 2 3 6" xfId="23272"/>
    <cellStyle name="常规 6 3 2 3 7" xfId="23273"/>
    <cellStyle name="常规 6 3 2 3 8" xfId="23274"/>
    <cellStyle name="常规 6 3 2 4" xfId="23275"/>
    <cellStyle name="常规 6 3 2 4 2" xfId="23276"/>
    <cellStyle name="常规 6 3 2 4 2 2" xfId="23277"/>
    <cellStyle name="常规 6 3 2 4 2 3" xfId="23278"/>
    <cellStyle name="常规 6 3 2 4 2 4" xfId="23279"/>
    <cellStyle name="常规 6 3 2 4 2 5" xfId="23280"/>
    <cellStyle name="常规 6 3 2 4 2 6" xfId="23281"/>
    <cellStyle name="常规 6 3 2 4 3" xfId="23282"/>
    <cellStyle name="常规 6 3 2 4 4" xfId="23283"/>
    <cellStyle name="常规 6 3 2 4 5" xfId="23284"/>
    <cellStyle name="常规 6 3 2 4 6" xfId="23285"/>
    <cellStyle name="常规 6 3 2 4 7" xfId="23286"/>
    <cellStyle name="常规 6 3 2 4 8" xfId="23287"/>
    <cellStyle name="常规 6 3 2 4 9" xfId="23288"/>
    <cellStyle name="常规 6 3 2 5" xfId="23289"/>
    <cellStyle name="常规 6 3 2 5 2" xfId="23290"/>
    <cellStyle name="常规 6 3 2 5 2 2" xfId="23291"/>
    <cellStyle name="常规 6 3 2 5 2 3" xfId="23292"/>
    <cellStyle name="常规 6 3 2 5 2 4" xfId="23293"/>
    <cellStyle name="常规 6 3 2 5 2 5" xfId="23294"/>
    <cellStyle name="常规 6 3 2 5 2 6" xfId="23295"/>
    <cellStyle name="常规 6 3 2 5 3" xfId="23296"/>
    <cellStyle name="常规 6 3 2 5 4" xfId="23297"/>
    <cellStyle name="常规 6 3 2 5 5" xfId="23298"/>
    <cellStyle name="常规 6 3 2 5 6" xfId="23299"/>
    <cellStyle name="常规 6 3 2 5 7" xfId="23300"/>
    <cellStyle name="常规 6 3 2 5 8" xfId="23301"/>
    <cellStyle name="常规 6 3 2 6" xfId="23302"/>
    <cellStyle name="常规 6 3 2 6 2" xfId="23303"/>
    <cellStyle name="常规 6 3 2 6 2 2" xfId="23304"/>
    <cellStyle name="常规 6 3 2 6 2 3" xfId="23305"/>
    <cellStyle name="常规 6 3 2 6 2 4" xfId="23306"/>
    <cellStyle name="常规 6 3 2 6 2 5" xfId="23307"/>
    <cellStyle name="常规 6 3 2 6 2 6" xfId="23308"/>
    <cellStyle name="常规 6 3 2 6 3" xfId="23309"/>
    <cellStyle name="常规 6 3 2 6 4" xfId="23310"/>
    <cellStyle name="常规 6 3 2 6 5" xfId="23311"/>
    <cellStyle name="常规 6 3 2 6 6" xfId="23312"/>
    <cellStyle name="常规 6 3 2 6 7" xfId="23313"/>
    <cellStyle name="常规 6 3 2 6 8" xfId="23314"/>
    <cellStyle name="常规 6 3 2 7" xfId="23315"/>
    <cellStyle name="常规 6 3 2 7 2" xfId="23316"/>
    <cellStyle name="常规 6 3 2 7 2 2" xfId="23317"/>
    <cellStyle name="常规 6 3 2 7 2 3" xfId="23318"/>
    <cellStyle name="常规 6 3 2 7 2 4" xfId="23319"/>
    <cellStyle name="常规 6 3 2 7 2 5" xfId="23320"/>
    <cellStyle name="常规 6 3 2 7 2 6" xfId="23321"/>
    <cellStyle name="常规 6 3 2 7 3" xfId="23322"/>
    <cellStyle name="常规 6 3 2 7 4" xfId="23323"/>
    <cellStyle name="常规 6 3 2 7 5" xfId="23324"/>
    <cellStyle name="常规 6 3 2 7 6" xfId="23325"/>
    <cellStyle name="常规 6 3 2 7 7" xfId="23326"/>
    <cellStyle name="常规 6 3 2 7 8" xfId="23327"/>
    <cellStyle name="常规 6 3 2 8" xfId="23328"/>
    <cellStyle name="常规 6 3 2 8 2" xfId="23329"/>
    <cellStyle name="常规 6 3 2 8 2 2" xfId="23330"/>
    <cellStyle name="常规 6 3 2 8 2 3" xfId="23331"/>
    <cellStyle name="常规 6 3 2 8 2 4" xfId="23332"/>
    <cellStyle name="常规 6 3 2 8 2 5" xfId="23333"/>
    <cellStyle name="常规 6 3 2 8 2 6" xfId="23334"/>
    <cellStyle name="常规 6 3 2 8 3" xfId="23335"/>
    <cellStyle name="常规 6 3 2 8 4" xfId="23336"/>
    <cellStyle name="常规 6 3 2 8 5" xfId="23337"/>
    <cellStyle name="常规 6 3 2 8 6" xfId="23338"/>
    <cellStyle name="常规 6 3 2 8 7" xfId="23339"/>
    <cellStyle name="常规 6 3 2 9" xfId="23340"/>
    <cellStyle name="常规 6 3 2 9 2" xfId="23341"/>
    <cellStyle name="常规 6 3 2 9 2 2" xfId="23342"/>
    <cellStyle name="常规 6 3 2 9 2 3" xfId="23343"/>
    <cellStyle name="常规 6 3 2 9 2 4" xfId="23344"/>
    <cellStyle name="常规 6 3 2 9 2 5" xfId="23345"/>
    <cellStyle name="常规 6 3 2 9 2 6" xfId="23346"/>
    <cellStyle name="常规 6 3 2 9 3" xfId="23347"/>
    <cellStyle name="常规 6 3 2 9 4" xfId="23348"/>
    <cellStyle name="常规 6 3 2 9 5" xfId="23349"/>
    <cellStyle name="常规 6 3 2 9 6" xfId="23350"/>
    <cellStyle name="常规 6 3 2 9 7" xfId="23351"/>
    <cellStyle name="常规 6 3 3" xfId="23352"/>
    <cellStyle name="常规 6 3 3 10" xfId="23353"/>
    <cellStyle name="常规 6 3 3 10 2" xfId="23354"/>
    <cellStyle name="常规 6 3 3 10 3" xfId="23355"/>
    <cellStyle name="常规 6 3 3 10 4" xfId="23356"/>
    <cellStyle name="常规 6 3 3 10 5" xfId="23357"/>
    <cellStyle name="常规 6 3 3 10 6" xfId="23358"/>
    <cellStyle name="常规 6 3 3 11" xfId="23359"/>
    <cellStyle name="常规 6 3 3 12" xfId="23360"/>
    <cellStyle name="常规 6 3 3 13" xfId="23361"/>
    <cellStyle name="常规 6 3 3 14" xfId="23362"/>
    <cellStyle name="常规 6 3 3 15" xfId="23363"/>
    <cellStyle name="常规 6 3 3 16" xfId="23364"/>
    <cellStyle name="常规 6 3 3 17" xfId="23365"/>
    <cellStyle name="常规 6 3 3 2" xfId="23366"/>
    <cellStyle name="常规 6 3 3 2 2" xfId="23367"/>
    <cellStyle name="常规 6 3 3 2 2 2" xfId="23368"/>
    <cellStyle name="常规 6 3 3 2 2 3" xfId="23369"/>
    <cellStyle name="常规 6 3 3 2 2 4" xfId="23370"/>
    <cellStyle name="常规 6 3 3 2 2 5" xfId="23371"/>
    <cellStyle name="常规 6 3 3 2 2 6" xfId="23372"/>
    <cellStyle name="常规 6 3 3 2 2 7" xfId="23373"/>
    <cellStyle name="常规 6 3 3 2 2 8" xfId="23374"/>
    <cellStyle name="常规 6 3 3 2 3" xfId="23375"/>
    <cellStyle name="常规 6 3 3 2 3 2" xfId="23376"/>
    <cellStyle name="常规 6 3 3 2 4" xfId="23377"/>
    <cellStyle name="常规 6 3 3 2 4 2" xfId="23378"/>
    <cellStyle name="常规 6 3 3 2 5" xfId="23379"/>
    <cellStyle name="常规 6 3 3 2 6" xfId="23380"/>
    <cellStyle name="常规 6 3 3 2 7" xfId="23381"/>
    <cellStyle name="常规 6 3 3 2 8" xfId="23382"/>
    <cellStyle name="常规 6 3 3 3" xfId="23383"/>
    <cellStyle name="常规 6 3 3 3 2" xfId="23384"/>
    <cellStyle name="常规 6 3 3 3 2 2" xfId="23385"/>
    <cellStyle name="常规 6 3 3 3 2 3" xfId="23386"/>
    <cellStyle name="常规 6 3 3 3 2 4" xfId="23387"/>
    <cellStyle name="常规 6 3 3 3 2 5" xfId="23388"/>
    <cellStyle name="常规 6 3 3 3 2 6" xfId="23389"/>
    <cellStyle name="常规 6 3 3 3 2 7" xfId="23390"/>
    <cellStyle name="常规 6 3 3 3 2 8" xfId="23391"/>
    <cellStyle name="常规 6 3 3 3 3" xfId="23392"/>
    <cellStyle name="常规 6 3 3 3 3 2" xfId="23393"/>
    <cellStyle name="常规 6 3 3 3 4" xfId="23394"/>
    <cellStyle name="常规 6 3 3 3 4 2" xfId="23395"/>
    <cellStyle name="常规 6 3 3 3 5" xfId="23396"/>
    <cellStyle name="常规 6 3 3 3 6" xfId="23397"/>
    <cellStyle name="常规 6 3 3 3 7" xfId="23398"/>
    <cellStyle name="常规 6 3 3 3 8" xfId="23399"/>
    <cellStyle name="常规 6 3 3 4" xfId="23400"/>
    <cellStyle name="常规 6 3 3 4 2" xfId="23401"/>
    <cellStyle name="常规 6 3 3 4 2 2" xfId="23402"/>
    <cellStyle name="常规 6 3 3 4 2 3" xfId="23403"/>
    <cellStyle name="常规 6 3 3 4 2 4" xfId="23404"/>
    <cellStyle name="常规 6 3 3 4 2 5" xfId="23405"/>
    <cellStyle name="常规 6 3 3 4 2 6" xfId="23406"/>
    <cellStyle name="常规 6 3 3 4 3" xfId="23407"/>
    <cellStyle name="常规 6 3 3 4 4" xfId="23408"/>
    <cellStyle name="常规 6 3 3 4 5" xfId="23409"/>
    <cellStyle name="常规 6 3 3 4 6" xfId="23410"/>
    <cellStyle name="常规 6 3 3 4 7" xfId="23411"/>
    <cellStyle name="常规 6 3 3 4 8" xfId="23412"/>
    <cellStyle name="常规 6 3 3 4 9" xfId="23413"/>
    <cellStyle name="常规 6 3 3 5" xfId="23414"/>
    <cellStyle name="常规 6 3 3 5 2" xfId="23415"/>
    <cellStyle name="常规 6 3 3 5 2 2" xfId="23416"/>
    <cellStyle name="常规 6 3 3 5 2 3" xfId="23417"/>
    <cellStyle name="常规 6 3 3 5 2 4" xfId="23418"/>
    <cellStyle name="常规 6 3 3 5 2 5" xfId="23419"/>
    <cellStyle name="常规 6 3 3 5 2 6" xfId="23420"/>
    <cellStyle name="常规 6 3 3 5 3" xfId="23421"/>
    <cellStyle name="常规 6 3 3 5 4" xfId="23422"/>
    <cellStyle name="常规 6 3 3 5 5" xfId="23423"/>
    <cellStyle name="常规 6 3 3 5 6" xfId="23424"/>
    <cellStyle name="常规 6 3 3 5 7" xfId="23425"/>
    <cellStyle name="常规 6 3 3 5 8" xfId="23426"/>
    <cellStyle name="常规 6 3 3 6" xfId="23427"/>
    <cellStyle name="常规 6 3 3 6 2" xfId="23428"/>
    <cellStyle name="常规 6 3 3 6 2 2" xfId="23429"/>
    <cellStyle name="常规 6 3 3 6 2 3" xfId="23430"/>
    <cellStyle name="常规 6 3 3 6 2 4" xfId="23431"/>
    <cellStyle name="常规 6 3 3 6 2 5" xfId="23432"/>
    <cellStyle name="常规 6 3 3 6 2 6" xfId="23433"/>
    <cellStyle name="常规 6 3 3 6 3" xfId="23434"/>
    <cellStyle name="常规 6 3 3 6 4" xfId="23435"/>
    <cellStyle name="常规 6 3 3 6 5" xfId="23436"/>
    <cellStyle name="常规 6 3 3 6 6" xfId="23437"/>
    <cellStyle name="常规 6 3 3 6 7" xfId="23438"/>
    <cellStyle name="常规 6 3 3 6 8" xfId="23439"/>
    <cellStyle name="常规 6 3 3 7" xfId="23440"/>
    <cellStyle name="常规 6 3 3 7 2" xfId="23441"/>
    <cellStyle name="常规 6 3 3 7 2 2" xfId="23442"/>
    <cellStyle name="常规 6 3 3 7 2 3" xfId="23443"/>
    <cellStyle name="常规 6 3 3 7 2 4" xfId="23444"/>
    <cellStyle name="常规 6 3 3 7 2 5" xfId="23445"/>
    <cellStyle name="常规 6 3 3 7 2 6" xfId="23446"/>
    <cellStyle name="常规 6 3 3 7 3" xfId="23447"/>
    <cellStyle name="常规 6 3 3 7 4" xfId="23448"/>
    <cellStyle name="常规 6 3 3 7 5" xfId="23449"/>
    <cellStyle name="常规 6 3 3 7 6" xfId="23450"/>
    <cellStyle name="常规 6 3 3 7 7" xfId="23451"/>
    <cellStyle name="常规 6 3 3 8" xfId="23452"/>
    <cellStyle name="常规 6 3 3 8 2" xfId="23453"/>
    <cellStyle name="常规 6 3 3 8 2 2" xfId="23454"/>
    <cellStyle name="常规 6 3 3 8 2 3" xfId="23455"/>
    <cellStyle name="常规 6 3 3 8 2 4" xfId="23456"/>
    <cellStyle name="常规 6 3 3 8 2 5" xfId="23457"/>
    <cellStyle name="常规 6 3 3 8 2 6" xfId="23458"/>
    <cellStyle name="常规 6 3 3 8 3" xfId="23459"/>
    <cellStyle name="常规 6 3 3 8 4" xfId="23460"/>
    <cellStyle name="常规 6 3 3 8 5" xfId="23461"/>
    <cellStyle name="常规 6 3 3 8 6" xfId="23462"/>
    <cellStyle name="常规 6 3 3 8 7" xfId="23463"/>
    <cellStyle name="常规 6 3 3 9" xfId="23464"/>
    <cellStyle name="常规 6 3 3 9 2" xfId="23465"/>
    <cellStyle name="常规 6 3 3 9 2 2" xfId="23466"/>
    <cellStyle name="常规 6 3 3 9 2 3" xfId="23467"/>
    <cellStyle name="常规 6 3 3 9 2 4" xfId="23468"/>
    <cellStyle name="常规 6 3 3 9 2 5" xfId="23469"/>
    <cellStyle name="常规 6 3 3 9 2 6" xfId="23470"/>
    <cellStyle name="常规 6 3 3 9 3" xfId="23471"/>
    <cellStyle name="常规 6 3 3 9 4" xfId="23472"/>
    <cellStyle name="常规 6 3 3 9 5" xfId="23473"/>
    <cellStyle name="常规 6 3 3 9 6" xfId="23474"/>
    <cellStyle name="常规 6 3 3 9 7" xfId="23475"/>
    <cellStyle name="常规 6 3 4" xfId="23476"/>
    <cellStyle name="常规 6 3 4 10" xfId="23477"/>
    <cellStyle name="常规 6 3 4 10 2" xfId="23478"/>
    <cellStyle name="常规 6 3 4 10 3" xfId="23479"/>
    <cellStyle name="常规 6 3 4 10 4" xfId="23480"/>
    <cellStyle name="常规 6 3 4 10 5" xfId="23481"/>
    <cellStyle name="常规 6 3 4 10 6" xfId="23482"/>
    <cellStyle name="常规 6 3 4 11" xfId="23483"/>
    <cellStyle name="常规 6 3 4 12" xfId="23484"/>
    <cellStyle name="常规 6 3 4 13" xfId="23485"/>
    <cellStyle name="常规 6 3 4 14" xfId="23486"/>
    <cellStyle name="常规 6 3 4 15" xfId="23487"/>
    <cellStyle name="常规 6 3 4 16" xfId="23488"/>
    <cellStyle name="常规 6 3 4 2" xfId="23489"/>
    <cellStyle name="常规 6 3 4 2 2" xfId="23490"/>
    <cellStyle name="常规 6 3 4 2 2 2" xfId="23491"/>
    <cellStyle name="常规 6 3 4 2 2 3" xfId="23492"/>
    <cellStyle name="常规 6 3 4 2 2 4" xfId="23493"/>
    <cellStyle name="常规 6 3 4 2 2 5" xfId="23494"/>
    <cellStyle name="常规 6 3 4 2 2 6" xfId="23495"/>
    <cellStyle name="常规 6 3 4 2 3" xfId="23496"/>
    <cellStyle name="常规 6 3 4 2 4" xfId="23497"/>
    <cellStyle name="常规 6 3 4 2 5" xfId="23498"/>
    <cellStyle name="常规 6 3 4 2 6" xfId="23499"/>
    <cellStyle name="常规 6 3 4 2 7" xfId="23500"/>
    <cellStyle name="常规 6 3 4 2 8" xfId="23501"/>
    <cellStyle name="常规 6 3 4 2 9" xfId="23502"/>
    <cellStyle name="常规 6 3 4 3" xfId="23503"/>
    <cellStyle name="常规 6 3 4 3 2" xfId="23504"/>
    <cellStyle name="常规 6 3 4 3 2 2" xfId="23505"/>
    <cellStyle name="常规 6 3 4 3 2 3" xfId="23506"/>
    <cellStyle name="常规 6 3 4 3 2 4" xfId="23507"/>
    <cellStyle name="常规 6 3 4 3 2 5" xfId="23508"/>
    <cellStyle name="常规 6 3 4 3 2 6" xfId="23509"/>
    <cellStyle name="常规 6 3 4 3 3" xfId="23510"/>
    <cellStyle name="常规 6 3 4 3 4" xfId="23511"/>
    <cellStyle name="常规 6 3 4 3 5" xfId="23512"/>
    <cellStyle name="常规 6 3 4 3 6" xfId="23513"/>
    <cellStyle name="常规 6 3 4 3 7" xfId="23514"/>
    <cellStyle name="常规 6 3 4 3 8" xfId="23515"/>
    <cellStyle name="常规 6 3 4 4" xfId="23516"/>
    <cellStyle name="常规 6 3 4 4 2" xfId="23517"/>
    <cellStyle name="常规 6 3 4 4 2 2" xfId="23518"/>
    <cellStyle name="常规 6 3 4 4 2 3" xfId="23519"/>
    <cellStyle name="常规 6 3 4 4 2 4" xfId="23520"/>
    <cellStyle name="常规 6 3 4 4 2 5" xfId="23521"/>
    <cellStyle name="常规 6 3 4 4 2 6" xfId="23522"/>
    <cellStyle name="常规 6 3 4 4 3" xfId="23523"/>
    <cellStyle name="常规 6 3 4 4 4" xfId="23524"/>
    <cellStyle name="常规 6 3 4 4 5" xfId="23525"/>
    <cellStyle name="常规 6 3 4 4 6" xfId="23526"/>
    <cellStyle name="常规 6 3 4 4 7" xfId="23527"/>
    <cellStyle name="常规 6 3 4 4 8" xfId="23528"/>
    <cellStyle name="常规 6 3 4 5" xfId="23529"/>
    <cellStyle name="常规 6 3 4 5 2" xfId="23530"/>
    <cellStyle name="常规 6 3 4 5 2 2" xfId="23531"/>
    <cellStyle name="常规 6 3 4 5 2 4" xfId="23532"/>
    <cellStyle name="常规 6 3 4 5 2 5" xfId="23533"/>
    <cellStyle name="常规 6 3 4 5 2 6" xfId="23534"/>
    <cellStyle name="常规 6 3 4 5 3" xfId="23535"/>
    <cellStyle name="常规 6 3 4 5 4" xfId="23536"/>
    <cellStyle name="常规 6 3 4 5 5" xfId="23537"/>
    <cellStyle name="常规 6 3 4 5 6" xfId="23538"/>
    <cellStyle name="常规 6 3 4 5 7" xfId="23539"/>
    <cellStyle name="常规 6 3 4 6" xfId="23540"/>
    <cellStyle name="常规 6 3 4 6 2" xfId="23541"/>
    <cellStyle name="常规 6 3 4 6 2 2" xfId="23542"/>
    <cellStyle name="常规 6 3 4 6 2 3" xfId="23543"/>
    <cellStyle name="常规 6 3 4 6 2 4" xfId="23544"/>
    <cellStyle name="常规 6 3 4 6 2 5" xfId="23545"/>
    <cellStyle name="常规 6 3 4 6 2 6" xfId="23546"/>
    <cellStyle name="常规 6 3 4 6 3" xfId="23547"/>
    <cellStyle name="常规 6 3 4 6 4" xfId="23548"/>
    <cellStyle name="常规 6 3 4 6 5" xfId="23549"/>
    <cellStyle name="常规 6 3 4 6 6" xfId="23550"/>
    <cellStyle name="常规 6 3 4 6 7" xfId="23551"/>
    <cellStyle name="常规 6 3 4 7" xfId="23552"/>
    <cellStyle name="常规 6 3 4 7 2" xfId="23553"/>
    <cellStyle name="常规 6 3 4 7 2 2" xfId="23554"/>
    <cellStyle name="常规 6 3 4 7 2 3" xfId="23555"/>
    <cellStyle name="常规 6 3 4 7 2 4" xfId="23556"/>
    <cellStyle name="常规 6 3 4 7 2 5" xfId="23557"/>
    <cellStyle name="常规 6 3 4 7 2 6" xfId="23558"/>
    <cellStyle name="常规 6 3 4 7 3" xfId="23559"/>
    <cellStyle name="常规 6 3 4 7 4" xfId="23560"/>
    <cellStyle name="常规 6 3 4 7 5" xfId="23561"/>
    <cellStyle name="常规 6 3 4 7 6" xfId="23562"/>
    <cellStyle name="常规 6 3 4 7 7" xfId="23563"/>
    <cellStyle name="常规 6 3 4 8" xfId="23564"/>
    <cellStyle name="常规 6 3 4 8 2" xfId="23565"/>
    <cellStyle name="常规 6 3 4 8 2 2" xfId="23566"/>
    <cellStyle name="常规 6 3 4 8 2 3" xfId="23567"/>
    <cellStyle name="常规 6 3 4 8 2 4" xfId="23568"/>
    <cellStyle name="常规 6 3 4 8 2 5" xfId="23569"/>
    <cellStyle name="常规 6 3 4 8 2 6" xfId="23570"/>
    <cellStyle name="常规 6 3 4 8 3" xfId="23571"/>
    <cellStyle name="常规 6 3 4 8 4" xfId="23572"/>
    <cellStyle name="常规 6 3 4 8 5" xfId="23573"/>
    <cellStyle name="常规 6 3 4 8 6" xfId="23574"/>
    <cellStyle name="常规 6 3 4 8 7" xfId="23575"/>
    <cellStyle name="常规 6 3 4 9" xfId="23576"/>
    <cellStyle name="常规 6 3 4 9 2" xfId="23577"/>
    <cellStyle name="常规 6 3 4 9 2 2" xfId="23578"/>
    <cellStyle name="常规 6 3 4 9 2 3" xfId="23579"/>
    <cellStyle name="常规 6 3 4 9 2 4" xfId="23580"/>
    <cellStyle name="常规 6 3 4 9 2 5" xfId="23581"/>
    <cellStyle name="常规 6 3 4 9 2 6" xfId="23582"/>
    <cellStyle name="常规 6 3 4 9 3" xfId="23583"/>
    <cellStyle name="常规 6 3 4 9 4" xfId="23584"/>
    <cellStyle name="常规 6 3 4 9 5" xfId="23585"/>
    <cellStyle name="常规 6 3 4 9 6" xfId="23586"/>
    <cellStyle name="常规 6 3 4 9 7" xfId="23587"/>
    <cellStyle name="常规 6 3 5" xfId="23588"/>
    <cellStyle name="常规 6 3 5 10" xfId="23589"/>
    <cellStyle name="常规 6 3 5 11" xfId="23590"/>
    <cellStyle name="常规 6 3 5 12" xfId="23591"/>
    <cellStyle name="常规 6 3 5 13" xfId="23592"/>
    <cellStyle name="常规 6 3 5 14" xfId="23593"/>
    <cellStyle name="常规 6 3 5 15" xfId="23594"/>
    <cellStyle name="常规 6 3 5 2" xfId="23595"/>
    <cellStyle name="常规 6 3 5 2 2" xfId="23596"/>
    <cellStyle name="常规 6 3 5 2 2 2" xfId="23597"/>
    <cellStyle name="常规 6 3 5 2 2 3" xfId="23598"/>
    <cellStyle name="常规 6 3 5 2 2 4" xfId="23599"/>
    <cellStyle name="常规 6 3 5 2 2 5" xfId="23600"/>
    <cellStyle name="常规 6 3 5 2 2 6" xfId="23601"/>
    <cellStyle name="常规 6 3 5 2 3" xfId="23602"/>
    <cellStyle name="常规 6 3 5 2 4" xfId="23603"/>
    <cellStyle name="常规 6 3 5 2 5" xfId="23604"/>
    <cellStyle name="常规 6 3 5 2 6" xfId="23605"/>
    <cellStyle name="常规 6 3 5 2 7" xfId="23606"/>
    <cellStyle name="常规 6 3 5 2 8" xfId="23607"/>
    <cellStyle name="常规 6 3 5 2 9" xfId="23608"/>
    <cellStyle name="常规 6 3 5 3" xfId="23609"/>
    <cellStyle name="常规 6 3 5 3 2" xfId="23610"/>
    <cellStyle name="常规 6 3 5 3 2 2" xfId="23611"/>
    <cellStyle name="常规 6 3 5 3 2 3" xfId="23612"/>
    <cellStyle name="常规 6 3 5 3 2 4" xfId="23613"/>
    <cellStyle name="常规 6 3 5 3 2 5" xfId="23614"/>
    <cellStyle name="常规 6 3 5 3 2 6" xfId="23615"/>
    <cellStyle name="常规 6 3 5 3 3" xfId="23616"/>
    <cellStyle name="常规 6 3 5 3 4" xfId="23617"/>
    <cellStyle name="常规 6 3 5 3 5" xfId="23618"/>
    <cellStyle name="常规 6 3 5 3 6" xfId="23619"/>
    <cellStyle name="常规 6 3 5 3 7" xfId="23620"/>
    <cellStyle name="常规 6 3 5 3 8" xfId="23621"/>
    <cellStyle name="常规 6 3 5 4" xfId="23622"/>
    <cellStyle name="常规 6 3 5 4 2" xfId="23623"/>
    <cellStyle name="常规 6 3 5 4 2 2" xfId="23624"/>
    <cellStyle name="常规 6 3 5 4 2 3" xfId="23625"/>
    <cellStyle name="常规 6 3 5 4 2 4" xfId="23626"/>
    <cellStyle name="常规 6 3 5 4 2 5" xfId="23627"/>
    <cellStyle name="常规 6 3 5 4 2 6" xfId="23628"/>
    <cellStyle name="常规 6 3 5 4 3" xfId="23629"/>
    <cellStyle name="常规 6 3 5 4 4" xfId="23630"/>
    <cellStyle name="常规 6 3 5 4 5" xfId="23631"/>
    <cellStyle name="常规 6 3 5 4 6" xfId="23632"/>
    <cellStyle name="常规 6 3 5 4 7" xfId="23633"/>
    <cellStyle name="常规 6 3 5 4 8" xfId="23634"/>
    <cellStyle name="常规 6 3 5 5" xfId="23635"/>
    <cellStyle name="常规 6 3 5 5 2" xfId="23636"/>
    <cellStyle name="常规 6 3 5 5 2 2" xfId="23637"/>
    <cellStyle name="常规 6 3 5 5 2 3" xfId="23638"/>
    <cellStyle name="常规 6 3 5 5 2 4" xfId="23639"/>
    <cellStyle name="常规 6 3 5 5 2 5" xfId="23640"/>
    <cellStyle name="常规 6 3 5 5 2 6" xfId="23641"/>
    <cellStyle name="常规 6 3 5 5 3" xfId="23642"/>
    <cellStyle name="常规 6 3 5 5 4" xfId="23643"/>
    <cellStyle name="常规 6 3 5 5 5" xfId="23644"/>
    <cellStyle name="常规 6 3 5 5 6" xfId="23645"/>
    <cellStyle name="常规 6 3 5 5 7" xfId="23646"/>
    <cellStyle name="常规 6 3 5 6" xfId="23647"/>
    <cellStyle name="常规 6 3 5 6 2" xfId="23648"/>
    <cellStyle name="常规 6 3 5 6 2 2" xfId="23649"/>
    <cellStyle name="常规 6 3 5 6 2 3" xfId="23650"/>
    <cellStyle name="常规 6 3 5 6 2 4" xfId="23651"/>
    <cellStyle name="常规 6 3 5 6 2 5" xfId="23652"/>
    <cellStyle name="常规 6 3 5 6 2 6" xfId="23653"/>
    <cellStyle name="常规 6 3 5 6 3" xfId="23654"/>
    <cellStyle name="常规 6 3 5 6 4" xfId="23655"/>
    <cellStyle name="常规 6 3 5 6 5" xfId="23656"/>
    <cellStyle name="常规 6 3 5 6 6" xfId="23657"/>
    <cellStyle name="常规 6 3 5 6 7" xfId="23658"/>
    <cellStyle name="常规 6 3 5 7" xfId="23659"/>
    <cellStyle name="常规 6 3 5 7 2" xfId="23660"/>
    <cellStyle name="常规 6 3 5 7 2 2" xfId="23661"/>
    <cellStyle name="常规 6 3 5 7 2 3" xfId="23662"/>
    <cellStyle name="常规 6 3 5 7 2 4" xfId="23663"/>
    <cellStyle name="常规 6 3 5 7 2 5" xfId="23664"/>
    <cellStyle name="常规 6 3 5 7 2 6" xfId="23665"/>
    <cellStyle name="常规 6 3 5 7 3" xfId="23666"/>
    <cellStyle name="常规 6 3 5 7 4" xfId="23667"/>
    <cellStyle name="常规 6 3 5 7 5" xfId="23668"/>
    <cellStyle name="常规 6 3 5 7 6" xfId="23669"/>
    <cellStyle name="常规 6 3 5 7 7" xfId="23670"/>
    <cellStyle name="常规 6 3 5 8" xfId="23671"/>
    <cellStyle name="常规 6 3 5 8 2" xfId="23672"/>
    <cellStyle name="常规 6 3 5 8 2 2" xfId="23673"/>
    <cellStyle name="常规 6 3 5 8 2 3" xfId="23674"/>
    <cellStyle name="常规 6 3 5 8 2 4" xfId="23675"/>
    <cellStyle name="常规 6 3 5 8 2 5" xfId="23676"/>
    <cellStyle name="常规 6 3 5 8 2 6" xfId="23677"/>
    <cellStyle name="常规 6 3 5 8 3" xfId="23678"/>
    <cellStyle name="常规 6 3 5 8 4" xfId="23679"/>
    <cellStyle name="常规 6 3 5 8 5" xfId="23680"/>
    <cellStyle name="常规 6 3 5 8 6" xfId="23681"/>
    <cellStyle name="常规 6 3 5 8 7" xfId="23682"/>
    <cellStyle name="常规 6 3 5 9" xfId="23683"/>
    <cellStyle name="常规 6 3 5 9 2" xfId="23684"/>
    <cellStyle name="常规 6 3 5 9 3" xfId="23685"/>
    <cellStyle name="常规 6 3 5 9 4" xfId="23686"/>
    <cellStyle name="常规 6 3 5 9 5" xfId="23687"/>
    <cellStyle name="常规 6 3 5 9 6" xfId="23688"/>
    <cellStyle name="常规 6 3 6" xfId="23689"/>
    <cellStyle name="常规 6 3 6 10" xfId="23690"/>
    <cellStyle name="常规 6 3 6 11" xfId="23691"/>
    <cellStyle name="常规 6 3 6 12" xfId="23692"/>
    <cellStyle name="常规 6 3 6 13" xfId="23693"/>
    <cellStyle name="常规 6 3 6 14" xfId="23694"/>
    <cellStyle name="常规 6 3 6 15" xfId="23695"/>
    <cellStyle name="常规 6 3 6 2" xfId="23696"/>
    <cellStyle name="常规 6 3 6 2 2" xfId="23697"/>
    <cellStyle name="常规 6 3 6 2 2 2" xfId="23698"/>
    <cellStyle name="常规 6 3 6 2 2 3" xfId="23699"/>
    <cellStyle name="常规 6 3 6 2 2 4" xfId="23700"/>
    <cellStyle name="常规 6 3 6 2 2 5" xfId="23701"/>
    <cellStyle name="常规 6 3 6 2 2 6" xfId="23702"/>
    <cellStyle name="常规 6 3 6 2 3" xfId="23703"/>
    <cellStyle name="常规 6 3 6 2 4" xfId="23704"/>
    <cellStyle name="常规 6 3 6 2 5" xfId="23705"/>
    <cellStyle name="常规 6 3 6 2 6" xfId="23706"/>
    <cellStyle name="常规 6 3 6 2 7" xfId="23707"/>
    <cellStyle name="常规 6 3 6 3" xfId="23708"/>
    <cellStyle name="常规 6 3 6 3 2" xfId="23709"/>
    <cellStyle name="常规 6 3 6 3 2 2" xfId="23710"/>
    <cellStyle name="常规 6 3 6 3 2 3" xfId="23711"/>
    <cellStyle name="常规 6 3 6 3 2 4" xfId="23712"/>
    <cellStyle name="常规 6 3 6 3 2 5" xfId="23713"/>
    <cellStyle name="常规 6 3 6 3 2 6" xfId="23714"/>
    <cellStyle name="常规 6 3 6 3 3" xfId="23715"/>
    <cellStyle name="常规 6 3 6 3 4" xfId="23716"/>
    <cellStyle name="常规 6 3 6 3 5" xfId="23717"/>
    <cellStyle name="常规 6 3 6 3 6" xfId="23718"/>
    <cellStyle name="常规 6 3 6 3 7" xfId="23719"/>
    <cellStyle name="常规 6 3 6 4" xfId="23720"/>
    <cellStyle name="常规 6 3 6 4 2" xfId="23721"/>
    <cellStyle name="常规 6 3 6 4 2 2" xfId="23722"/>
    <cellStyle name="常规 6 3 6 4 2 3" xfId="23723"/>
    <cellStyle name="常规 6 3 6 4 2 4" xfId="23724"/>
    <cellStyle name="常规 6 3 6 4 2 5" xfId="23725"/>
    <cellStyle name="常规 6 3 6 4 2 6" xfId="23726"/>
    <cellStyle name="常规 6 3 6 4 3" xfId="23727"/>
    <cellStyle name="常规 6 3 6 4 4" xfId="23728"/>
    <cellStyle name="常规 6 3 6 4 5" xfId="23729"/>
    <cellStyle name="常规 6 3 6 4 6" xfId="23730"/>
    <cellStyle name="常规 6 3 6 4 7" xfId="23731"/>
    <cellStyle name="常规 6 3 6 5" xfId="23732"/>
    <cellStyle name="常规 6 3 6 5 2" xfId="23733"/>
    <cellStyle name="常规 6 3 6 5 2 2" xfId="23734"/>
    <cellStyle name="常规 6 3 6 5 2 3" xfId="23735"/>
    <cellStyle name="常规 6 3 6 5 2 4" xfId="23736"/>
    <cellStyle name="常规 6 3 6 5 2 5" xfId="23737"/>
    <cellStyle name="常规 6 3 6 5 2 6" xfId="23738"/>
    <cellStyle name="常规 6 3 6 5 3" xfId="23739"/>
    <cellStyle name="常规 6 3 6 5 4" xfId="23740"/>
    <cellStyle name="常规 6 3 6 5 5" xfId="23741"/>
    <cellStyle name="常规 6 3 6 5 6" xfId="23742"/>
    <cellStyle name="常规 6 3 6 5 7" xfId="23743"/>
    <cellStyle name="常规 6 3 6 6" xfId="23744"/>
    <cellStyle name="常规 6 3 6 6 2" xfId="23745"/>
    <cellStyle name="常规 6 3 6 6 2 2" xfId="23746"/>
    <cellStyle name="常规 6 3 6 6 2 3" xfId="23747"/>
    <cellStyle name="常规 6 3 6 6 2 4" xfId="23748"/>
    <cellStyle name="常规 6 3 6 6 2 5" xfId="23749"/>
    <cellStyle name="常规 6 3 6 6 2 6" xfId="23750"/>
    <cellStyle name="常规 6 3 6 6 3" xfId="23751"/>
    <cellStyle name="常规 6 3 6 6 4" xfId="23752"/>
    <cellStyle name="常规 6 3 6 6 5" xfId="23753"/>
    <cellStyle name="常规 6 3 6 6 6" xfId="23754"/>
    <cellStyle name="常规 6 3 6 6 7" xfId="23755"/>
    <cellStyle name="常规 6 3 6 7" xfId="23756"/>
    <cellStyle name="常规 6 3 6 7 2" xfId="23757"/>
    <cellStyle name="常规 6 3 6 7 2 2" xfId="23758"/>
    <cellStyle name="常规 6 3 6 7 2 3" xfId="23759"/>
    <cellStyle name="常规 6 3 6 7 2 4" xfId="23760"/>
    <cellStyle name="常规 6 3 6 7 2 5" xfId="23761"/>
    <cellStyle name="常规 6 3 6 7 2 6" xfId="23762"/>
    <cellStyle name="常规 6 3 6 7 3" xfId="23763"/>
    <cellStyle name="常规 6 3 6 7 4" xfId="23764"/>
    <cellStyle name="常规 6 3 6 7 5" xfId="23765"/>
    <cellStyle name="常规 6 3 6 7 6" xfId="23766"/>
    <cellStyle name="常规 6 3 6 7 7" xfId="23767"/>
    <cellStyle name="常规 6 3 6 8" xfId="23768"/>
    <cellStyle name="常规 6 3 6 8 2" xfId="23769"/>
    <cellStyle name="常规 6 3 6 8 3" xfId="23770"/>
    <cellStyle name="常规 6 3 6 8 4" xfId="23771"/>
    <cellStyle name="常规 6 3 6 8 5" xfId="23772"/>
    <cellStyle name="常规 6 3 6 8 6" xfId="23773"/>
    <cellStyle name="常规 6 3 6 9" xfId="23774"/>
    <cellStyle name="常规 6 3 7" xfId="23775"/>
    <cellStyle name="常规 6 3 7 10" xfId="23776"/>
    <cellStyle name="常规 6 3 7 11" xfId="23777"/>
    <cellStyle name="常规 6 3 7 12" xfId="23778"/>
    <cellStyle name="常规 6 3 7 13" xfId="23779"/>
    <cellStyle name="常规 6 3 7 2" xfId="23780"/>
    <cellStyle name="常规 6 3 7 2 2" xfId="23781"/>
    <cellStyle name="常规 6 3 7 2 2 2" xfId="23782"/>
    <cellStyle name="常规 6 3 7 2 2 3" xfId="23783"/>
    <cellStyle name="常规 6 3 7 2 2 4" xfId="23784"/>
    <cellStyle name="常规 6 3 7 2 2 5" xfId="23785"/>
    <cellStyle name="常规 6 3 7 2 2 6" xfId="23786"/>
    <cellStyle name="常规 6 3 7 2 3" xfId="23787"/>
    <cellStyle name="常规 6 3 7 2 4" xfId="23788"/>
    <cellStyle name="常规 6 3 7 2 5" xfId="23789"/>
    <cellStyle name="常规 6 3 7 2 6" xfId="23790"/>
    <cellStyle name="常规 6 3 7 2 7" xfId="23791"/>
    <cellStyle name="常规 6 3 7 3" xfId="23792"/>
    <cellStyle name="常规 6 3 7 3 2" xfId="23793"/>
    <cellStyle name="常规 6 3 7 3 2 2" xfId="23794"/>
    <cellStyle name="常规 6 3 7 3 2 3" xfId="23795"/>
    <cellStyle name="常规 6 3 7 3 2 4" xfId="23796"/>
    <cellStyle name="常规 6 3 7 3 2 5" xfId="23797"/>
    <cellStyle name="常规 6 3 7 3 2 6" xfId="23798"/>
    <cellStyle name="常规 6 3 7 3 3" xfId="23799"/>
    <cellStyle name="常规 6 3 7 3 4" xfId="23800"/>
    <cellStyle name="常规 6 3 7 3 5" xfId="23801"/>
    <cellStyle name="常规 6 3 7 3 6" xfId="23802"/>
    <cellStyle name="常规 6 3 7 3 7" xfId="23803"/>
    <cellStyle name="常规 6 3 7 4" xfId="23804"/>
    <cellStyle name="常规 6 3 7 4 2" xfId="23805"/>
    <cellStyle name="常规 6 3 7 4 2 2" xfId="23806"/>
    <cellStyle name="常规 6 3 7 4 2 3" xfId="23807"/>
    <cellStyle name="常规 6 3 7 4 2 4" xfId="23808"/>
    <cellStyle name="常规 6 3 7 4 2 5" xfId="23809"/>
    <cellStyle name="常规 6 3 7 4 2 6" xfId="23810"/>
    <cellStyle name="常规 6 3 7 4 3" xfId="23811"/>
    <cellStyle name="常规 6 3 7 4 4" xfId="23812"/>
    <cellStyle name="常规 6 3 7 4 5" xfId="23813"/>
    <cellStyle name="常规 6 3 7 4 6" xfId="23814"/>
    <cellStyle name="常规 6 3 7 4 7" xfId="23815"/>
    <cellStyle name="常规 6 3 7 5" xfId="23816"/>
    <cellStyle name="常规 6 3 7 5 2" xfId="23817"/>
    <cellStyle name="常规 6 3 7 5 2 2" xfId="23818"/>
    <cellStyle name="常规 6 3 7 5 2 3" xfId="23819"/>
    <cellStyle name="常规 6 3 7 5 2 4" xfId="23820"/>
    <cellStyle name="常规 6 3 7 5 2 5" xfId="23821"/>
    <cellStyle name="常规 6 3 7 5 2 6" xfId="23822"/>
    <cellStyle name="常规 6 3 7 5 3" xfId="23823"/>
    <cellStyle name="常规 6 3 7 5 4" xfId="23824"/>
    <cellStyle name="常规 6 3 7 5 5" xfId="23825"/>
    <cellStyle name="常规 6 3 7 5 6" xfId="23826"/>
    <cellStyle name="常规 6 3 7 5 7" xfId="23827"/>
    <cellStyle name="常规 6 3 7 6" xfId="23828"/>
    <cellStyle name="常规 6 3 7 6 2" xfId="23829"/>
    <cellStyle name="常规 6 3 7 6 2 2" xfId="23830"/>
    <cellStyle name="常规 6 3 7 6 2 3" xfId="23831"/>
    <cellStyle name="常规 6 3 7 6 2 4" xfId="23832"/>
    <cellStyle name="常规 6 3 7 6 2 5" xfId="23833"/>
    <cellStyle name="常规 6 3 7 6 2 6" xfId="23834"/>
    <cellStyle name="常规 6 3 7 6 3" xfId="23835"/>
    <cellStyle name="常规 6 3 7 6 4" xfId="23836"/>
    <cellStyle name="常规 6 3 7 6 5" xfId="23837"/>
    <cellStyle name="常规 6 3 7 6 6" xfId="23838"/>
    <cellStyle name="常规 6 3 7 6 7" xfId="23839"/>
    <cellStyle name="常规 6 3 7 7" xfId="23840"/>
    <cellStyle name="常规 6 3 7 7 2" xfId="23841"/>
    <cellStyle name="常规 6 3 7 7 3" xfId="23842"/>
    <cellStyle name="常规 6 3 7 7 4" xfId="23843"/>
    <cellStyle name="常规 6 3 7 7 5" xfId="23844"/>
    <cellStyle name="常规 6 3 7 7 6" xfId="23845"/>
    <cellStyle name="常规 6 3 7 8" xfId="23846"/>
    <cellStyle name="常规 6 3 7 9" xfId="23847"/>
    <cellStyle name="常规 6 3 8" xfId="23848"/>
    <cellStyle name="常规 6 3 8 10" xfId="23849"/>
    <cellStyle name="常规 6 3 8 11" xfId="23850"/>
    <cellStyle name="常规 6 3 8 12" xfId="23851"/>
    <cellStyle name="常规 6 3 8 2" xfId="23852"/>
    <cellStyle name="常规 6 3 8 2 2" xfId="23853"/>
    <cellStyle name="常规 6 3 8 2 2 2" xfId="23854"/>
    <cellStyle name="常规 6 3 8 2 2 3" xfId="23855"/>
    <cellStyle name="常规 6 3 8 2 2 4" xfId="23856"/>
    <cellStyle name="常规 6 3 8 2 2 5" xfId="23857"/>
    <cellStyle name="常规 6 3 8 2 2 6" xfId="23858"/>
    <cellStyle name="常规 6 3 8 2 3" xfId="23859"/>
    <cellStyle name="常规 6 3 8 2 4" xfId="23860"/>
    <cellStyle name="常规 6 3 8 2 5" xfId="23861"/>
    <cellStyle name="常规 6 3 8 2 6" xfId="23862"/>
    <cellStyle name="常规 6 3 8 2 7" xfId="23863"/>
    <cellStyle name="常规 6 3 8 3" xfId="23864"/>
    <cellStyle name="常规 6 3 8 3 2" xfId="23865"/>
    <cellStyle name="常规 6 3 8 3 2 2" xfId="23866"/>
    <cellStyle name="常规 6 3 8 3 2 3" xfId="23867"/>
    <cellStyle name="常规 6 3 8 3 2 4" xfId="23868"/>
    <cellStyle name="常规 6 3 8 3 2 5" xfId="23869"/>
    <cellStyle name="常规 6 3 8 3 2 6" xfId="23870"/>
    <cellStyle name="常规 6 3 8 3 3" xfId="23871"/>
    <cellStyle name="常规 6 3 8 3 4" xfId="23872"/>
    <cellStyle name="常规 6 3 8 3 5" xfId="23873"/>
    <cellStyle name="常规 6 3 8 3 6" xfId="23874"/>
    <cellStyle name="常规 6 3 8 3 7" xfId="23875"/>
    <cellStyle name="常规 6 3 8 4" xfId="23876"/>
    <cellStyle name="常规 6 3 8 4 2" xfId="23877"/>
    <cellStyle name="常规 6 3 8 4 2 2" xfId="23878"/>
    <cellStyle name="常规 6 3 8 4 2 3" xfId="23879"/>
    <cellStyle name="常规 6 3 8 4 2 4" xfId="23880"/>
    <cellStyle name="常规 6 3 8 4 2 5" xfId="23881"/>
    <cellStyle name="常规 6 3 8 4 2 6" xfId="23882"/>
    <cellStyle name="常规 6 3 8 4 3" xfId="23883"/>
    <cellStyle name="常规 6 3 8 4 4" xfId="23884"/>
    <cellStyle name="常规 6 3 8 4 5" xfId="23885"/>
    <cellStyle name="常规 6 3 8 4 6" xfId="23886"/>
    <cellStyle name="常规 6 3 8 4 7" xfId="23887"/>
    <cellStyle name="常规 6 3 8 5" xfId="23888"/>
    <cellStyle name="常规 6 3 8 5 2" xfId="23889"/>
    <cellStyle name="常规 6 3 8 5 2 2" xfId="23890"/>
    <cellStyle name="常规 6 3 8 5 2 3" xfId="23891"/>
    <cellStyle name="常规 6 3 8 5 2 4" xfId="23892"/>
    <cellStyle name="常规 6 3 8 5 2 5" xfId="23893"/>
    <cellStyle name="常规 6 3 8 5 2 6" xfId="23894"/>
    <cellStyle name="常规 6 3 8 5 3" xfId="23895"/>
    <cellStyle name="常规 6 3 8 5 4" xfId="23896"/>
    <cellStyle name="常规 6 3 8 5 5" xfId="23897"/>
    <cellStyle name="常规 6 3 8 5 6" xfId="23898"/>
    <cellStyle name="常规 6 3 8 5 7" xfId="23899"/>
    <cellStyle name="常规 6 3 8 6" xfId="23900"/>
    <cellStyle name="常规 6 3 8 6 2" xfId="23901"/>
    <cellStyle name="常规 6 3 8 6 3" xfId="23902"/>
    <cellStyle name="常规 6 3 8 6 4" xfId="23903"/>
    <cellStyle name="常规 6 3 8 6 5" xfId="23904"/>
    <cellStyle name="常规 6 3 8 6 6" xfId="23905"/>
    <cellStyle name="常规 6 3 8 7" xfId="23906"/>
    <cellStyle name="常规 6 3 8 8" xfId="23907"/>
    <cellStyle name="常规 6 3 8 9" xfId="23908"/>
    <cellStyle name="常规 6 3 9" xfId="23909"/>
    <cellStyle name="常规 6 3 9 10" xfId="23910"/>
    <cellStyle name="常规 6 3 9 11" xfId="23911"/>
    <cellStyle name="常规 6 3 9 2" xfId="23912"/>
    <cellStyle name="常规 6 3 9 2 2" xfId="23913"/>
    <cellStyle name="常规 6 3 9 2 2 2" xfId="23914"/>
    <cellStyle name="常规 6 3 9 2 2 3" xfId="23915"/>
    <cellStyle name="常规 6 3 9 2 2 4" xfId="23916"/>
    <cellStyle name="常规 6 3 9 2 2 5" xfId="23917"/>
    <cellStyle name="常规 6 3 9 2 2 6" xfId="23918"/>
    <cellStyle name="常规 6 3 9 2 3" xfId="23919"/>
    <cellStyle name="常规 6 3 9 2 4" xfId="23920"/>
    <cellStyle name="常规 6 3 9 2 5" xfId="23921"/>
    <cellStyle name="常规 6 3 9 2 6" xfId="23922"/>
    <cellStyle name="常规 6 3 9 2 7" xfId="23923"/>
    <cellStyle name="常规 6 3 9 3" xfId="23924"/>
    <cellStyle name="常规 6 3 9 3 2" xfId="23925"/>
    <cellStyle name="常规 6 3 9 3 2 2" xfId="23926"/>
    <cellStyle name="常规 6 3 9 3 2 3" xfId="23927"/>
    <cellStyle name="常规 6 3 9 3 2 4" xfId="23928"/>
    <cellStyle name="常规 6 3 9 3 2 5" xfId="23929"/>
    <cellStyle name="常规 6 3 9 3 2 6" xfId="23930"/>
    <cellStyle name="常规 6 3 9 3 3" xfId="23931"/>
    <cellStyle name="常规 6 3 9 3 4" xfId="23932"/>
    <cellStyle name="常规 6 3 9 3 5" xfId="23933"/>
    <cellStyle name="常规 6 3 9 3 6" xfId="23934"/>
    <cellStyle name="常规 6 3 9 3 7" xfId="23935"/>
    <cellStyle name="常规 6 3 9 4" xfId="23936"/>
    <cellStyle name="常规 6 3 9 4 2" xfId="23937"/>
    <cellStyle name="常规 6 3 9 4 2 2" xfId="23938"/>
    <cellStyle name="常规 6 3 9 4 2 3" xfId="23939"/>
    <cellStyle name="常规 6 3 9 4 2 4" xfId="23940"/>
    <cellStyle name="常规 6 3 9 4 2 5" xfId="23941"/>
    <cellStyle name="常规 6 3 9 4 2 6" xfId="23942"/>
    <cellStyle name="常规 6 3 9 4 3" xfId="23943"/>
    <cellStyle name="常规 6 3 9 4 4" xfId="23944"/>
    <cellStyle name="常规 6 3 9 4 5" xfId="23945"/>
    <cellStyle name="常规 6 3 9 4 6" xfId="23946"/>
    <cellStyle name="常规 6 3 9 4 7" xfId="23947"/>
    <cellStyle name="常规 6 3 9 5" xfId="23948"/>
    <cellStyle name="常规 6 3 9 5 2" xfId="23949"/>
    <cellStyle name="常规 6 3 9 5 3" xfId="23950"/>
    <cellStyle name="常规 6 3 9 5 4" xfId="23951"/>
    <cellStyle name="常规 6 3 9 5 5" xfId="23952"/>
    <cellStyle name="常规 6 3 9 5 6" xfId="23953"/>
    <cellStyle name="常规 6 3 9 6" xfId="23954"/>
    <cellStyle name="常规 6 3 9 7" xfId="23955"/>
    <cellStyle name="常规 6 3 9 8" xfId="23956"/>
    <cellStyle name="常规 6 3 9 9" xfId="23957"/>
    <cellStyle name="常规 6 4" xfId="23958"/>
    <cellStyle name="常规 6 4 10" xfId="23959"/>
    <cellStyle name="常规 6 4 10 2" xfId="23960"/>
    <cellStyle name="常规 6 4 10 2 2" xfId="23961"/>
    <cellStyle name="常规 6 4 10 2 3" xfId="23962"/>
    <cellStyle name="常规 6 4 10 2 4" xfId="23963"/>
    <cellStyle name="常规 6 4 10 2 5" xfId="23964"/>
    <cellStyle name="常规 6 4 10 2 6" xfId="23965"/>
    <cellStyle name="常规 6 4 10 3" xfId="23966"/>
    <cellStyle name="常规 6 4 10 4" xfId="23967"/>
    <cellStyle name="常规 6 4 10 5" xfId="23968"/>
    <cellStyle name="常规 6 4 10 6" xfId="23969"/>
    <cellStyle name="常规 6 4 10 7" xfId="23970"/>
    <cellStyle name="常规 6 4 11" xfId="23971"/>
    <cellStyle name="常规 6 4 11 2" xfId="23972"/>
    <cellStyle name="常规 6 4 11 2 2" xfId="23973"/>
    <cellStyle name="常规 6 4 11 2 3" xfId="23974"/>
    <cellStyle name="常规 6 4 11 2 4" xfId="23975"/>
    <cellStyle name="常规 6 4 11 2 5" xfId="23976"/>
    <cellStyle name="常规 6 4 11 2 6" xfId="23977"/>
    <cellStyle name="常规 6 4 11 3" xfId="23978"/>
    <cellStyle name="常规 6 4 11 4" xfId="23979"/>
    <cellStyle name="常规 6 4 11 5" xfId="23980"/>
    <cellStyle name="常规 6 4 11 6" xfId="23981"/>
    <cellStyle name="常规 6 4 11 7" xfId="23982"/>
    <cellStyle name="常规 6 4 12" xfId="23983"/>
    <cellStyle name="常规 6 4 12 2" xfId="23984"/>
    <cellStyle name="常规 6 4 12 2 2" xfId="23985"/>
    <cellStyle name="常规 6 4 12 2 3" xfId="23986"/>
    <cellStyle name="常规 6 4 12 2 4" xfId="23987"/>
    <cellStyle name="常规 6 4 12 2 5" xfId="23988"/>
    <cellStyle name="常规 6 4 12 2 6" xfId="23989"/>
    <cellStyle name="常规 6 4 12 3" xfId="23990"/>
    <cellStyle name="常规 6 4 12 4" xfId="23991"/>
    <cellStyle name="常规 6 4 12 5" xfId="23992"/>
    <cellStyle name="常规 6 4 12 6" xfId="23993"/>
    <cellStyle name="常规 6 4 12 7" xfId="23994"/>
    <cellStyle name="常规 6 4 13" xfId="23995"/>
    <cellStyle name="常规 6 4 14" xfId="23996"/>
    <cellStyle name="常规 6 4 2" xfId="23997"/>
    <cellStyle name="常规 6 4 2 2" xfId="23998"/>
    <cellStyle name="常规 6 4 2 3" xfId="23999"/>
    <cellStyle name="常规 6 4 3" xfId="24000"/>
    <cellStyle name="常规 6 4 3 2" xfId="24001"/>
    <cellStyle name="常规 6 4 3 2 2" xfId="24002"/>
    <cellStyle name="常规 6 4 3 2 3" xfId="24003"/>
    <cellStyle name="常规 6 4 3 2 4" xfId="24004"/>
    <cellStyle name="常规 6 4 3 2 5" xfId="24005"/>
    <cellStyle name="常规 6 4 3 2 6" xfId="24006"/>
    <cellStyle name="常规 6 4 3 3" xfId="24007"/>
    <cellStyle name="常规 6 4 3 4" xfId="24008"/>
    <cellStyle name="常规 6 4 3 5" xfId="24009"/>
    <cellStyle name="常规 6 4 3 6" xfId="24010"/>
    <cellStyle name="常规 6 4 3 7" xfId="24011"/>
    <cellStyle name="常规 6 4 3 8" xfId="24012"/>
    <cellStyle name="常规 6 4 4" xfId="24013"/>
    <cellStyle name="常规 6 4 4 2" xfId="24014"/>
    <cellStyle name="常规 6 4 4 2 2" xfId="24015"/>
    <cellStyle name="常规 6 4 4 2 3" xfId="24016"/>
    <cellStyle name="常规 6 4 4 2 4" xfId="24017"/>
    <cellStyle name="常规 6 4 4 2 5" xfId="24018"/>
    <cellStyle name="常规 6 4 4 2 6" xfId="24019"/>
    <cellStyle name="常规 6 4 4 3" xfId="24020"/>
    <cellStyle name="常规 6 4 4 4" xfId="24021"/>
    <cellStyle name="常规 6 4 4 5" xfId="24022"/>
    <cellStyle name="常规 6 4 4 6" xfId="24023"/>
    <cellStyle name="常规 6 4 4 7" xfId="24024"/>
    <cellStyle name="常规 6 4 4 8" xfId="24025"/>
    <cellStyle name="常规 6 4 5" xfId="24026"/>
    <cellStyle name="常规 6 4 5 2" xfId="24027"/>
    <cellStyle name="常规 6 4 5 2 2" xfId="24028"/>
    <cellStyle name="常规 6 4 5 2 3" xfId="24029"/>
    <cellStyle name="常规 6 4 5 2 4" xfId="24030"/>
    <cellStyle name="常规 6 4 5 2 5" xfId="24031"/>
    <cellStyle name="常规 6 4 5 2 6" xfId="24032"/>
    <cellStyle name="常规 6 4 5 3" xfId="24033"/>
    <cellStyle name="常规 6 4 5 4" xfId="24034"/>
    <cellStyle name="常规 6 4 5 5" xfId="24035"/>
    <cellStyle name="常规 6 4 5 6" xfId="24036"/>
    <cellStyle name="常规 6 4 5 7" xfId="24037"/>
    <cellStyle name="常规 6 4 5 8" xfId="24038"/>
    <cellStyle name="常规 6 4 6" xfId="24039"/>
    <cellStyle name="常规 6 4 6 2" xfId="24040"/>
    <cellStyle name="常规 6 4 6 2 2" xfId="24041"/>
    <cellStyle name="常规 6 4 6 2 3" xfId="24042"/>
    <cellStyle name="常规 6 4 6 2 4" xfId="24043"/>
    <cellStyle name="常规 6 4 6 2 5" xfId="24044"/>
    <cellStyle name="常规 6 4 6 2 6" xfId="24045"/>
    <cellStyle name="常规 6 4 6 3" xfId="24046"/>
    <cellStyle name="常规 6 4 6 4" xfId="24047"/>
    <cellStyle name="常规 6 4 6 5" xfId="24048"/>
    <cellStyle name="常规 6 4 6 6" xfId="24049"/>
    <cellStyle name="常规 6 4 6 7" xfId="24050"/>
    <cellStyle name="常规 6 4 7" xfId="24051"/>
    <cellStyle name="常规 6 4 7 2" xfId="24052"/>
    <cellStyle name="常规 6 4 7 2 2" xfId="24053"/>
    <cellStyle name="常规 6 4 7 2 3" xfId="24054"/>
    <cellStyle name="常规 6 4 7 2 4" xfId="24055"/>
    <cellStyle name="常规 6 4 7 2 5" xfId="24056"/>
    <cellStyle name="常规 6 4 7 2 6" xfId="24057"/>
    <cellStyle name="常规 6 4 7 3" xfId="24058"/>
    <cellStyle name="常规 6 4 7 4" xfId="24059"/>
    <cellStyle name="常规 6 4 7 5" xfId="24060"/>
    <cellStyle name="常规 6 4 7 6" xfId="24061"/>
    <cellStyle name="常规 6 4 7 7" xfId="24062"/>
    <cellStyle name="常规 6 4 8" xfId="24063"/>
    <cellStyle name="常规 6 4 8 2" xfId="24064"/>
    <cellStyle name="常规 6 4 8 2 2" xfId="24065"/>
    <cellStyle name="常规 6 4 8 2 3" xfId="24066"/>
    <cellStyle name="常规 6 4 8 2 4" xfId="24067"/>
    <cellStyle name="常规 6 4 8 2 5" xfId="24068"/>
    <cellStyle name="常规 6 4 8 2 6" xfId="24069"/>
    <cellStyle name="常规 6 4 8 3" xfId="24070"/>
    <cellStyle name="常规 6 4 8 4" xfId="24071"/>
    <cellStyle name="常规 6 4 8 5" xfId="24072"/>
    <cellStyle name="常规 6 4 8 6" xfId="24073"/>
    <cellStyle name="常规 6 4 8 7" xfId="24074"/>
    <cellStyle name="常规 6 4 9" xfId="24075"/>
    <cellStyle name="常规 6 4 9 2" xfId="24076"/>
    <cellStyle name="常规 6 4 9 2 2" xfId="24077"/>
    <cellStyle name="常规 6 4 9 2 3" xfId="24078"/>
    <cellStyle name="常规 6 4 9 2 4" xfId="24079"/>
    <cellStyle name="常规 6 4 9 2 5" xfId="24080"/>
    <cellStyle name="常规 6 4 9 2 6" xfId="24081"/>
    <cellStyle name="常规 6 4 9 3" xfId="24082"/>
    <cellStyle name="常规 6 4 9 4" xfId="24083"/>
    <cellStyle name="常规 6 4 9 5" xfId="24084"/>
    <cellStyle name="常规 6 4 9 6" xfId="24085"/>
    <cellStyle name="常规 6 4 9 7" xfId="24086"/>
    <cellStyle name="常规 6 5" xfId="24087"/>
    <cellStyle name="常规 6 5 10" xfId="24088"/>
    <cellStyle name="常规 6 5 10 2" xfId="24089"/>
    <cellStyle name="常规 6 5 10 2 2" xfId="24090"/>
    <cellStyle name="常规 6 5 10 2 3" xfId="24091"/>
    <cellStyle name="常规 6 5 10 2 4" xfId="24092"/>
    <cellStyle name="常规 6 5 10 2 5" xfId="24093"/>
    <cellStyle name="常规 6 5 10 2 6" xfId="24094"/>
    <cellStyle name="常规 6 5 10 3" xfId="24095"/>
    <cellStyle name="常规 6 5 10 4" xfId="24096"/>
    <cellStyle name="常规 6 5 10 5" xfId="24097"/>
    <cellStyle name="常规 6 5 10 6" xfId="24098"/>
    <cellStyle name="常规 6 5 10 7" xfId="24099"/>
    <cellStyle name="常规 6 5 11" xfId="24100"/>
    <cellStyle name="常规 6 5 12" xfId="24101"/>
    <cellStyle name="常规 6 5 13" xfId="24102"/>
    <cellStyle name="常规 6 5 2" xfId="24103"/>
    <cellStyle name="常规 6 5 2 2" xfId="24104"/>
    <cellStyle name="常规 6 5 2 2 2" xfId="24105"/>
    <cellStyle name="常规 6 5 2 2 2 2" xfId="24106"/>
    <cellStyle name="常规 6 5 2 2 2 3" xfId="24107"/>
    <cellStyle name="常规 6 5 2 2 3" xfId="24108"/>
    <cellStyle name="常规 6 5 2 2 3 2" xfId="24109"/>
    <cellStyle name="常规 6 5 2 2 4" xfId="24110"/>
    <cellStyle name="常规 6 5 2 2 4 2" xfId="24111"/>
    <cellStyle name="常规 6 5 2 2 5" xfId="24112"/>
    <cellStyle name="常规 6 5 2 2 6" xfId="24113"/>
    <cellStyle name="常规 6 5 2 2 7" xfId="24114"/>
    <cellStyle name="常规 6 5 2 3" xfId="24115"/>
    <cellStyle name="常规 6 5 2 3 2" xfId="24116"/>
    <cellStyle name="常规 6 5 2 3 2 2" xfId="24117"/>
    <cellStyle name="常规 6 5 2 3 3" xfId="24118"/>
    <cellStyle name="常规 6 5 2 3 4" xfId="24119"/>
    <cellStyle name="常规 6 5 2 3 5" xfId="24120"/>
    <cellStyle name="常规 6 5 2 4" xfId="24121"/>
    <cellStyle name="常规 6 5 2 4 2" xfId="24122"/>
    <cellStyle name="常规 6 5 2 4 3" xfId="24123"/>
    <cellStyle name="常规 6 5 2 5" xfId="24124"/>
    <cellStyle name="常规 6 5 2 5 2" xfId="24125"/>
    <cellStyle name="常规 6 5 2 6" xfId="24126"/>
    <cellStyle name="常规 6 5 2 6 2" xfId="24127"/>
    <cellStyle name="常规 6 5 2 7" xfId="24128"/>
    <cellStyle name="常规 6 5 2 8" xfId="24129"/>
    <cellStyle name="常规 6 5 3" xfId="24130"/>
    <cellStyle name="常规 6 5 3 2" xfId="24131"/>
    <cellStyle name="常规 6 5 3 2 2" xfId="24132"/>
    <cellStyle name="常规 6 5 3 2 3" xfId="24133"/>
    <cellStyle name="常规 6 5 3 2 4" xfId="24134"/>
    <cellStyle name="常规 6 5 3 2 5" xfId="24135"/>
    <cellStyle name="常规 6 5 3 2 6" xfId="24136"/>
    <cellStyle name="常规 6 5 3 2 7" xfId="24137"/>
    <cellStyle name="常规 6 5 3 2 8" xfId="24138"/>
    <cellStyle name="常规 6 5 3 3" xfId="24139"/>
    <cellStyle name="常规 6 5 3 3 2" xfId="24140"/>
    <cellStyle name="常规 6 5 3 4" xfId="24141"/>
    <cellStyle name="常规 6 5 3 4 2" xfId="24142"/>
    <cellStyle name="常规 6 5 3 5" xfId="24143"/>
    <cellStyle name="常规 6 5 3 6" xfId="24144"/>
    <cellStyle name="常规 6 5 3 7" xfId="24145"/>
    <cellStyle name="常规 6 5 3 8" xfId="24146"/>
    <cellStyle name="常规 6 5 4" xfId="24147"/>
    <cellStyle name="常规 6 5 4 2" xfId="24148"/>
    <cellStyle name="常规 6 5 4 2 2" xfId="24149"/>
    <cellStyle name="常规 6 5 4 2 3" xfId="24150"/>
    <cellStyle name="常规 6 5 4 2 4" xfId="24151"/>
    <cellStyle name="常规 6 5 4 2 5" xfId="24152"/>
    <cellStyle name="常规 6 5 4 2 6" xfId="24153"/>
    <cellStyle name="常规 6 5 4 2 7" xfId="24154"/>
    <cellStyle name="常规 6 5 4 2 8" xfId="24155"/>
    <cellStyle name="常规 6 5 4 3" xfId="24156"/>
    <cellStyle name="常规 6 5 4 3 2" xfId="24157"/>
    <cellStyle name="常规 6 5 4 4" xfId="24158"/>
    <cellStyle name="常规 6 5 4 4 2" xfId="24159"/>
    <cellStyle name="常规 6 5 4 5" xfId="24160"/>
    <cellStyle name="常规 6 5 4 6" xfId="24161"/>
    <cellStyle name="常规 6 5 4 7" xfId="24162"/>
    <cellStyle name="常规 6 5 4 8" xfId="24163"/>
    <cellStyle name="常规 6 5 5" xfId="24164"/>
    <cellStyle name="常规 6 5 5 2" xfId="24165"/>
    <cellStyle name="常规 6 5 5 2 2" xfId="24166"/>
    <cellStyle name="常规 6 5 5 2 3" xfId="24167"/>
    <cellStyle name="常规 6 5 5 2 4" xfId="24168"/>
    <cellStyle name="常规 6 5 5 2 5" xfId="24169"/>
    <cellStyle name="常规 6 5 5 2 6" xfId="24170"/>
    <cellStyle name="常规 6 5 5 3" xfId="24171"/>
    <cellStyle name="常规 6 5 5 4" xfId="24172"/>
    <cellStyle name="常规 6 5 5 5" xfId="24173"/>
    <cellStyle name="常规 6 5 5 6" xfId="24174"/>
    <cellStyle name="常规 6 5 5 7" xfId="24175"/>
    <cellStyle name="常规 6 5 5 8" xfId="24176"/>
    <cellStyle name="常规 6 5 5 9" xfId="24177"/>
    <cellStyle name="常规 6 5 6" xfId="24178"/>
    <cellStyle name="常规 6 5 6 2" xfId="24179"/>
    <cellStyle name="常规 6 5 6 2 2" xfId="24180"/>
    <cellStyle name="常规 6 5 6 2 3" xfId="24181"/>
    <cellStyle name="常规 6 5 6 2 4" xfId="24182"/>
    <cellStyle name="常规 6 5 6 2 5" xfId="24183"/>
    <cellStyle name="常规 6 5 6 2 6" xfId="24184"/>
    <cellStyle name="常规 6 5 6 3" xfId="24185"/>
    <cellStyle name="常规 6 5 6 4" xfId="24186"/>
    <cellStyle name="常规 6 5 6 5" xfId="24187"/>
    <cellStyle name="常规 6 5 6 6" xfId="24188"/>
    <cellStyle name="常规 6 5 6 7" xfId="24189"/>
    <cellStyle name="常规 6 5 6 8" xfId="24190"/>
    <cellStyle name="常规 6 5 7" xfId="24191"/>
    <cellStyle name="常规 6 5 7 2" xfId="24192"/>
    <cellStyle name="常规 6 5 7 2 2" xfId="24193"/>
    <cellStyle name="常规 6 5 7 2 3" xfId="24194"/>
    <cellStyle name="常规 6 5 7 2 4" xfId="24195"/>
    <cellStyle name="常规 6 5 7 2 5" xfId="24196"/>
    <cellStyle name="常规 6 5 7 2 6" xfId="24197"/>
    <cellStyle name="常规 6 5 7 3" xfId="24198"/>
    <cellStyle name="常规 6 5 7 4" xfId="24199"/>
    <cellStyle name="常规 6 5 7 5" xfId="24200"/>
    <cellStyle name="常规 6 5 7 6" xfId="24201"/>
    <cellStyle name="常规 6 5 7 7" xfId="24202"/>
    <cellStyle name="常规 6 5 7 8" xfId="24203"/>
    <cellStyle name="常规 6 5 8" xfId="24204"/>
    <cellStyle name="常规 6 5 8 2" xfId="24205"/>
    <cellStyle name="常规 6 5 8 2 2" xfId="24206"/>
    <cellStyle name="常规 6 5 8 2 3" xfId="24207"/>
    <cellStyle name="常规 6 5 8 2 4" xfId="24208"/>
    <cellStyle name="常规 6 5 8 2 5" xfId="24209"/>
    <cellStyle name="常规 6 5 8 2 6" xfId="24210"/>
    <cellStyle name="常规 6 5 8 3" xfId="24211"/>
    <cellStyle name="常规 6 5 8 4" xfId="24212"/>
    <cellStyle name="常规 6 5 8 5" xfId="24213"/>
    <cellStyle name="常规 6 5 8 6" xfId="24214"/>
    <cellStyle name="常规 6 5 8 7" xfId="24215"/>
    <cellStyle name="常规 6 5 8 8" xfId="24216"/>
    <cellStyle name="常规 6 5 9" xfId="24217"/>
    <cellStyle name="常规 6 5 9 2" xfId="24218"/>
    <cellStyle name="常规 6 5 9 2 2" xfId="24219"/>
    <cellStyle name="常规 6 5 9 2 3" xfId="24220"/>
    <cellStyle name="常规 6 5 9 2 4" xfId="24221"/>
    <cellStyle name="常规 6 5 9 2 5" xfId="24222"/>
    <cellStyle name="常规 6 5 9 2 6" xfId="24223"/>
    <cellStyle name="常规 6 5 9 3" xfId="24224"/>
    <cellStyle name="常规 6 5 9 4" xfId="24225"/>
    <cellStyle name="常规 6 5 9 5" xfId="24226"/>
    <cellStyle name="常规 6 5 9 6" xfId="24227"/>
    <cellStyle name="常规 6 5 9 7" xfId="24228"/>
    <cellStyle name="常规 6 6" xfId="24229"/>
    <cellStyle name="常规 6 6 10" xfId="24230"/>
    <cellStyle name="常规 6 6 2" xfId="24231"/>
    <cellStyle name="常规 6 6 2 2" xfId="24232"/>
    <cellStyle name="常规 6 6 2 2 2" xfId="24233"/>
    <cellStyle name="常规 6 6 2 2 3" xfId="24234"/>
    <cellStyle name="常规 6 6 2 2 4" xfId="24235"/>
    <cellStyle name="常规 6 6 2 2 5" xfId="24236"/>
    <cellStyle name="常规 6 6 2 2 6" xfId="24237"/>
    <cellStyle name="常规 6 6 2 2 7" xfId="24238"/>
    <cellStyle name="常规 6 6 2 2 8" xfId="24239"/>
    <cellStyle name="常规 6 6 2 3" xfId="24240"/>
    <cellStyle name="常规 6 6 2 3 2" xfId="24241"/>
    <cellStyle name="常规 6 6 2 4" xfId="24242"/>
    <cellStyle name="常规 6 6 2 4 2" xfId="24243"/>
    <cellStyle name="常规 6 6 2 5" xfId="24244"/>
    <cellStyle name="常规 6 6 2 6" xfId="24245"/>
    <cellStyle name="常规 6 6 2 7" xfId="24246"/>
    <cellStyle name="常规 6 6 2 8" xfId="24247"/>
    <cellStyle name="常规 6 6 3" xfId="24248"/>
    <cellStyle name="常规 6 6 3 2" xfId="24249"/>
    <cellStyle name="常规 6 6 3 2 2" xfId="24250"/>
    <cellStyle name="常规 6 6 3 2 3" xfId="24251"/>
    <cellStyle name="常规 6 6 3 2 4" xfId="24252"/>
    <cellStyle name="常规 6 6 3 2 5" xfId="24253"/>
    <cellStyle name="常规 6 6 3 2 6" xfId="24254"/>
    <cellStyle name="常规 6 6 3 2 7" xfId="24255"/>
    <cellStyle name="常规 6 6 3 3" xfId="24256"/>
    <cellStyle name="常规 6 6 3 4" xfId="24257"/>
    <cellStyle name="常规 6 6 3 5" xfId="24258"/>
    <cellStyle name="常规 6 6 3 6" xfId="24259"/>
    <cellStyle name="常规 6 6 3 7" xfId="24260"/>
    <cellStyle name="常规 6 6 3 8" xfId="24261"/>
    <cellStyle name="常规 6 6 4" xfId="24262"/>
    <cellStyle name="常规 6 6 4 2" xfId="24263"/>
    <cellStyle name="常规 6 6 4 2 2" xfId="24264"/>
    <cellStyle name="常规 6 6 4 2 3" xfId="24265"/>
    <cellStyle name="常规 6 6 4 2 4" xfId="24266"/>
    <cellStyle name="常规 6 6 4 2 5" xfId="24267"/>
    <cellStyle name="常规 6 6 4 2 6" xfId="24268"/>
    <cellStyle name="常规 6 6 4 3" xfId="24269"/>
    <cellStyle name="常规 6 6 4 4" xfId="24270"/>
    <cellStyle name="常规 6 6 4 5" xfId="24271"/>
    <cellStyle name="常规 6 6 4 6" xfId="24272"/>
    <cellStyle name="常规 6 6 4 7" xfId="24273"/>
    <cellStyle name="常规 6 6 4 8" xfId="24274"/>
    <cellStyle name="常规 6 6 4 9" xfId="24275"/>
    <cellStyle name="常规 6 6 5" xfId="24276"/>
    <cellStyle name="常规 6 6 5 2" xfId="24277"/>
    <cellStyle name="常规 6 6 5 2 2" xfId="24278"/>
    <cellStyle name="常规 6 6 5 2 3" xfId="24279"/>
    <cellStyle name="常规 6 6 5 2 4" xfId="24280"/>
    <cellStyle name="常规 6 6 5 2 5" xfId="24281"/>
    <cellStyle name="常规 6 6 5 2 6" xfId="24282"/>
    <cellStyle name="常规 6 6 5 3" xfId="24283"/>
    <cellStyle name="常规 6 6 5 4" xfId="24284"/>
    <cellStyle name="常规 6 6 5 5" xfId="24285"/>
    <cellStyle name="常规 6 6 5 6" xfId="24286"/>
    <cellStyle name="常规 6 6 5 7" xfId="24287"/>
    <cellStyle name="常规 6 6 5 8" xfId="24288"/>
    <cellStyle name="常规 6 6 6" xfId="24289"/>
    <cellStyle name="常规 6 6 6 2" xfId="24290"/>
    <cellStyle name="常规 6 6 6 2 2" xfId="24291"/>
    <cellStyle name="常规 6 6 6 2 3" xfId="24292"/>
    <cellStyle name="常规 6 6 6 2 4" xfId="24293"/>
    <cellStyle name="常规 6 6 6 2 5" xfId="24294"/>
    <cellStyle name="常规 6 6 6 2 6" xfId="24295"/>
    <cellStyle name="常规 6 6 6 3" xfId="24296"/>
    <cellStyle name="常规 6 6 6 4" xfId="24297"/>
    <cellStyle name="常规 6 6 6 5" xfId="24298"/>
    <cellStyle name="常规 6 6 6 6" xfId="24299"/>
    <cellStyle name="常规 6 6 6 7" xfId="24300"/>
    <cellStyle name="常规 6 6 6 8" xfId="24301"/>
    <cellStyle name="常规 6 6 7" xfId="24302"/>
    <cellStyle name="常规 6 6 7 2" xfId="24303"/>
    <cellStyle name="常规 6 6 7 2 2" xfId="24304"/>
    <cellStyle name="常规 6 6 7 2 3" xfId="24305"/>
    <cellStyle name="常规 6 6 7 2 4" xfId="24306"/>
    <cellStyle name="常规 6 6 7 2 5" xfId="24307"/>
    <cellStyle name="常规 6 6 7 2 6" xfId="24308"/>
    <cellStyle name="常规 6 6 7 3" xfId="24309"/>
    <cellStyle name="常规 6 6 7 4" xfId="24310"/>
    <cellStyle name="常规 6 6 7 5" xfId="24311"/>
    <cellStyle name="常规 6 6 7 6" xfId="24312"/>
    <cellStyle name="常规 6 6 7 7" xfId="24313"/>
    <cellStyle name="常规 6 6 8" xfId="24314"/>
    <cellStyle name="常规 6 6 8 2" xfId="24315"/>
    <cellStyle name="常规 6 6 8 2 2" xfId="24316"/>
    <cellStyle name="常规 6 6 8 2 3" xfId="24317"/>
    <cellStyle name="常规 6 6 8 2 4" xfId="24318"/>
    <cellStyle name="常规 6 6 8 2 5" xfId="24319"/>
    <cellStyle name="常规 6 6 8 2 6" xfId="24320"/>
    <cellStyle name="常规 6 6 8 3" xfId="24321"/>
    <cellStyle name="常规 6 6 8 4" xfId="24322"/>
    <cellStyle name="常规 6 6 8 5" xfId="24323"/>
    <cellStyle name="常规 6 6 8 6" xfId="24324"/>
    <cellStyle name="常规 6 6 8 7" xfId="24325"/>
    <cellStyle name="常规 6 6 9" xfId="24326"/>
    <cellStyle name="常规 6 6 9 2" xfId="24327"/>
    <cellStyle name="常规 6 6 9 2 2" xfId="24328"/>
    <cellStyle name="常规 6 6 9 2 3" xfId="24329"/>
    <cellStyle name="常规 6 6 9 2 4" xfId="24330"/>
    <cellStyle name="常规 6 6 9 2 5" xfId="24331"/>
    <cellStyle name="常规 6 6 9 2 6" xfId="24332"/>
    <cellStyle name="常规 6 6 9 3" xfId="24333"/>
    <cellStyle name="常规 6 6 9 4" xfId="24334"/>
    <cellStyle name="常规 6 6 9 5" xfId="24335"/>
    <cellStyle name="常规 6 6 9 6" xfId="24336"/>
    <cellStyle name="常规 6 6 9 7" xfId="24337"/>
    <cellStyle name="常规 6 7" xfId="24338"/>
    <cellStyle name="常规 6 7 10" xfId="24339"/>
    <cellStyle name="常规 6 7 2" xfId="24340"/>
    <cellStyle name="常规 6 7 2 2" xfId="24341"/>
    <cellStyle name="常规 6 7 2 2 2" xfId="24342"/>
    <cellStyle name="常规 6 7 2 2 3" xfId="24343"/>
    <cellStyle name="常规 6 7 2 2 4" xfId="24344"/>
    <cellStyle name="常规 6 7 2 2 5" xfId="24345"/>
    <cellStyle name="常规 6 7 2 2 6" xfId="24346"/>
    <cellStyle name="常规 6 7 2 3" xfId="24347"/>
    <cellStyle name="常规 6 7 2 4" xfId="24348"/>
    <cellStyle name="常规 6 7 2 5" xfId="24349"/>
    <cellStyle name="常规 6 7 2 6" xfId="24350"/>
    <cellStyle name="常规 6 7 2 7" xfId="24351"/>
    <cellStyle name="常规 6 7 2 8" xfId="24352"/>
    <cellStyle name="常规 6 7 3" xfId="24353"/>
    <cellStyle name="常规 6 7 3 2" xfId="24354"/>
    <cellStyle name="常规 6 7 3 2 2" xfId="24355"/>
    <cellStyle name="常规 6 7 3 2 3" xfId="24356"/>
    <cellStyle name="常规 6 7 3 2 4" xfId="24357"/>
    <cellStyle name="常规 6 7 3 2 5" xfId="24358"/>
    <cellStyle name="常规 6 7 3 2 6" xfId="24359"/>
    <cellStyle name="常规 6 7 3 3" xfId="24360"/>
    <cellStyle name="常规 6 7 3 4" xfId="24361"/>
    <cellStyle name="常规 6 7 3 5" xfId="24362"/>
    <cellStyle name="常规 6 7 3 6" xfId="24363"/>
    <cellStyle name="常规 6 7 3 7" xfId="24364"/>
    <cellStyle name="常规 6 7 3 8" xfId="24365"/>
    <cellStyle name="常规 6 7 3 9" xfId="24366"/>
    <cellStyle name="常规 6 7 4" xfId="24367"/>
    <cellStyle name="常规 6 7 4 2" xfId="24368"/>
    <cellStyle name="常规 6 7 4 2 2" xfId="24369"/>
    <cellStyle name="常规 6 7 4 2 3" xfId="24370"/>
    <cellStyle name="常规 6 7 4 2 4" xfId="24371"/>
    <cellStyle name="常规 6 7 4 2 5" xfId="24372"/>
    <cellStyle name="常规 6 7 4 2 6" xfId="24373"/>
    <cellStyle name="常规 6 7 4 3" xfId="24374"/>
    <cellStyle name="常规 6 7 4 4" xfId="24375"/>
    <cellStyle name="常规 6 7 4 5" xfId="24376"/>
    <cellStyle name="常规 6 7 4 6" xfId="24377"/>
    <cellStyle name="常规 6 7 4 7" xfId="24378"/>
    <cellStyle name="常规 6 7 4 8" xfId="24379"/>
    <cellStyle name="常规 6 7 5" xfId="24380"/>
    <cellStyle name="常规 6 7 5 2" xfId="24381"/>
    <cellStyle name="常规 6 7 5 2 2" xfId="24382"/>
    <cellStyle name="常规 6 7 5 2 3" xfId="24383"/>
    <cellStyle name="常规 6 7 5 2 4" xfId="24384"/>
    <cellStyle name="常规 6 7 5 2 5" xfId="24385"/>
    <cellStyle name="常规 6 7 5 2 6" xfId="24386"/>
    <cellStyle name="常规 6 7 5 3" xfId="24387"/>
    <cellStyle name="常规 6 7 5 4" xfId="24388"/>
    <cellStyle name="常规 6 7 5 5" xfId="24389"/>
    <cellStyle name="常规 6 7 5 6" xfId="24390"/>
    <cellStyle name="常规 6 7 5 7" xfId="24391"/>
    <cellStyle name="常规 6 7 5 8" xfId="24392"/>
    <cellStyle name="常规 6 7 6" xfId="24393"/>
    <cellStyle name="常规 6 7 6 2" xfId="24394"/>
    <cellStyle name="常规 6 7 6 2 2" xfId="24395"/>
    <cellStyle name="常规 6 7 6 2 3" xfId="24396"/>
    <cellStyle name="常规 6 7 6 2 4" xfId="24397"/>
    <cellStyle name="常规 6 7 6 2 5" xfId="24398"/>
    <cellStyle name="常规 6 7 6 2 6" xfId="24399"/>
    <cellStyle name="常规 6 7 6 3" xfId="24400"/>
    <cellStyle name="常规 6 7 6 4" xfId="24401"/>
    <cellStyle name="常规 6 7 6 5" xfId="24402"/>
    <cellStyle name="常规 6 7 6 6" xfId="24403"/>
    <cellStyle name="常规 6 7 6 7" xfId="24404"/>
    <cellStyle name="常规 6 7 7" xfId="24405"/>
    <cellStyle name="常规 6 7 7 2" xfId="24406"/>
    <cellStyle name="常规 6 7 7 2 2" xfId="24407"/>
    <cellStyle name="常规 6 7 7 2 3" xfId="24408"/>
    <cellStyle name="常规 6 7 7 2 4" xfId="24409"/>
    <cellStyle name="常规 6 7 7 2 5" xfId="24410"/>
    <cellStyle name="常规 6 7 7 2 6" xfId="24411"/>
    <cellStyle name="常规 6 7 7 3" xfId="24412"/>
    <cellStyle name="常规 6 7 7 4" xfId="24413"/>
    <cellStyle name="常规 6 7 7 5" xfId="24414"/>
    <cellStyle name="常规 6 7 7 6" xfId="24415"/>
    <cellStyle name="常规 6 7 7 7" xfId="24416"/>
    <cellStyle name="常规 6 7 8" xfId="24417"/>
    <cellStyle name="常规 6 7 8 2" xfId="24418"/>
    <cellStyle name="常规 6 7 8 2 2" xfId="24419"/>
    <cellStyle name="常规 6 7 8 2 3" xfId="24420"/>
    <cellStyle name="常规 6 7 8 2 4" xfId="24421"/>
    <cellStyle name="常规 6 7 8 2 5" xfId="24422"/>
    <cellStyle name="常规 6 7 8 2 6" xfId="24423"/>
    <cellStyle name="常规 6 7 8 3" xfId="24424"/>
    <cellStyle name="常规 6 7 8 4" xfId="24425"/>
    <cellStyle name="常规 6 7 8 5" xfId="24426"/>
    <cellStyle name="常规 6 7 8 6" xfId="24427"/>
    <cellStyle name="常规 6 7 8 7" xfId="24428"/>
    <cellStyle name="常规 6 7 9" xfId="24429"/>
    <cellStyle name="常规 6 7 9 2" xfId="24430"/>
    <cellStyle name="常规 6 7 9 2 2" xfId="24431"/>
    <cellStyle name="常规 6 7 9 2 3" xfId="24432"/>
    <cellStyle name="常规 6 7 9 2 4" xfId="24433"/>
    <cellStyle name="常规 6 7 9 2 5" xfId="24434"/>
    <cellStyle name="常规 6 7 9 2 6" xfId="24435"/>
    <cellStyle name="常规 6 7 9 3" xfId="24436"/>
    <cellStyle name="常规 6 7 9 4" xfId="24437"/>
    <cellStyle name="常规 6 7 9 5" xfId="24438"/>
    <cellStyle name="常规 6 7 9 6" xfId="24439"/>
    <cellStyle name="常规 6 7 9 7" xfId="24440"/>
    <cellStyle name="常规 6 8" xfId="24441"/>
    <cellStyle name="常规 6 8 10" xfId="24442"/>
    <cellStyle name="常规 6 8 11" xfId="24443"/>
    <cellStyle name="常规 6 8 12" xfId="24444"/>
    <cellStyle name="常规 6 8 13" xfId="24445"/>
    <cellStyle name="常规 6 8 14" xfId="24446"/>
    <cellStyle name="常规 6 8 15" xfId="24447"/>
    <cellStyle name="常规 6 8 2" xfId="24448"/>
    <cellStyle name="常规 6 8 2 2" xfId="24449"/>
    <cellStyle name="常规 6 8 2 2 2" xfId="24450"/>
    <cellStyle name="常规 6 8 2 2 3" xfId="24451"/>
    <cellStyle name="常规 6 8 2 2 4" xfId="24452"/>
    <cellStyle name="常规 6 8 2 2 5" xfId="24453"/>
    <cellStyle name="常规 6 8 2 2 6" xfId="24454"/>
    <cellStyle name="常规 6 8 2 2 7" xfId="24455"/>
    <cellStyle name="常规 6 8 2 2 8" xfId="24456"/>
    <cellStyle name="常规 6 8 2 3" xfId="24457"/>
    <cellStyle name="常规 6 8 2 3 2" xfId="24458"/>
    <cellStyle name="常规 6 8 2 4" xfId="24459"/>
    <cellStyle name="常规 6 8 2 4 2" xfId="24460"/>
    <cellStyle name="常规 6 8 2 5" xfId="24461"/>
    <cellStyle name="常规 6 8 2 6" xfId="24462"/>
    <cellStyle name="常规 6 8 2 7" xfId="24463"/>
    <cellStyle name="常规 6 8 2 8" xfId="24464"/>
    <cellStyle name="常规 6 8 3" xfId="24465"/>
    <cellStyle name="常规 6 8 3 2" xfId="24466"/>
    <cellStyle name="常规 6 8 3 2 2" xfId="24467"/>
    <cellStyle name="常规 6 8 3 2 3" xfId="24468"/>
    <cellStyle name="常规 6 8 3 2 4" xfId="24469"/>
    <cellStyle name="常规 6 8 3 2 5" xfId="24470"/>
    <cellStyle name="常规 6 8 3 2 6" xfId="24471"/>
    <cellStyle name="常规 6 8 3 3" xfId="24472"/>
    <cellStyle name="常规 6 8 3 4" xfId="24473"/>
    <cellStyle name="常规 6 8 3 5" xfId="24474"/>
    <cellStyle name="常规 6 8 3 6" xfId="24475"/>
    <cellStyle name="常规 6 8 3 7" xfId="24476"/>
    <cellStyle name="常规 6 8 3 8" xfId="24477"/>
    <cellStyle name="常规 6 8 3 9" xfId="24478"/>
    <cellStyle name="常规 6 8 4" xfId="24479"/>
    <cellStyle name="常规 6 8 4 2" xfId="24480"/>
    <cellStyle name="常规 6 8 4 2 2" xfId="24481"/>
    <cellStyle name="常规 6 8 4 2 3" xfId="24482"/>
    <cellStyle name="常规 6 8 4 2 4" xfId="24483"/>
    <cellStyle name="常规 6 8 4 2 5" xfId="24484"/>
    <cellStyle name="常规 6 8 4 2 6" xfId="24485"/>
    <cellStyle name="常规 6 8 4 3" xfId="24486"/>
    <cellStyle name="常规 6 8 4 4" xfId="24487"/>
    <cellStyle name="常规 6 8 4 5" xfId="24488"/>
    <cellStyle name="常规 6 8 4 6" xfId="24489"/>
    <cellStyle name="常规 6 8 4 7" xfId="24490"/>
    <cellStyle name="常规 6 8 4 8" xfId="24491"/>
    <cellStyle name="常规 6 8 5" xfId="24492"/>
    <cellStyle name="常规 6 8 5 2" xfId="24493"/>
    <cellStyle name="常规 6 8 5 2 2" xfId="24494"/>
    <cellStyle name="常规 6 8 5 2 3" xfId="24495"/>
    <cellStyle name="常规 6 8 5 2 4" xfId="24496"/>
    <cellStyle name="常规 6 8 5 2 5" xfId="24497"/>
    <cellStyle name="常规 6 8 5 2 6" xfId="24498"/>
    <cellStyle name="常规 6 8 5 3" xfId="24499"/>
    <cellStyle name="常规 6 8 5 4" xfId="24500"/>
    <cellStyle name="常规 6 8 5 5" xfId="24501"/>
    <cellStyle name="常规 6 8 5 6" xfId="24502"/>
    <cellStyle name="常规 6 8 5 7" xfId="24503"/>
    <cellStyle name="常规 6 8 5 8" xfId="24504"/>
    <cellStyle name="常规 6 8 6" xfId="24505"/>
    <cellStyle name="常规 6 8 6 2" xfId="24506"/>
    <cellStyle name="常规 6 8 6 2 2" xfId="24507"/>
    <cellStyle name="常规 6 8 6 2 3" xfId="24508"/>
    <cellStyle name="常规 6 8 6 2 4" xfId="24509"/>
    <cellStyle name="常规 6 8 6 2 5" xfId="24510"/>
    <cellStyle name="常规 6 8 6 2 6" xfId="24511"/>
    <cellStyle name="常规 6 8 6 3" xfId="24512"/>
    <cellStyle name="常规 6 8 6 4" xfId="24513"/>
    <cellStyle name="常规 6 8 6 5" xfId="24514"/>
    <cellStyle name="常规 6 8 6 6" xfId="24515"/>
    <cellStyle name="常规 6 8 6 7" xfId="24516"/>
    <cellStyle name="常规 6 8 7" xfId="24517"/>
    <cellStyle name="常规 6 8 7 2" xfId="24518"/>
    <cellStyle name="常规 6 8 7 2 2" xfId="24519"/>
    <cellStyle name="常规 6 8 7 2 3" xfId="24520"/>
    <cellStyle name="常规 6 8 7 2 4" xfId="24521"/>
    <cellStyle name="常规 6 8 7 2 5" xfId="24522"/>
    <cellStyle name="常规 6 8 7 2 6" xfId="24523"/>
    <cellStyle name="常规 6 8 7 3" xfId="24524"/>
    <cellStyle name="常规 6 8 7 4" xfId="24525"/>
    <cellStyle name="常规 6 8 7 5" xfId="24526"/>
    <cellStyle name="常规 6 8 7 6" xfId="24527"/>
    <cellStyle name="常规 6 8 7 7" xfId="24528"/>
    <cellStyle name="常规 6 8 8" xfId="24529"/>
    <cellStyle name="常规 6 8 8 2" xfId="24530"/>
    <cellStyle name="常规 6 8 8 2 2" xfId="24531"/>
    <cellStyle name="常规 6 8 8 2 3" xfId="24532"/>
    <cellStyle name="常规 6 8 8 2 4" xfId="24533"/>
    <cellStyle name="常规 6 8 8 2 5" xfId="24534"/>
    <cellStyle name="常规 6 8 8 2 6" xfId="24535"/>
    <cellStyle name="常规 6 8 8 3" xfId="24536"/>
    <cellStyle name="常规 6 8 8 4" xfId="24537"/>
    <cellStyle name="常规 6 8 8 5" xfId="24538"/>
    <cellStyle name="常规 6 8 8 6" xfId="24539"/>
    <cellStyle name="常规 6 8 8 7" xfId="24540"/>
    <cellStyle name="常规 6 8 9" xfId="24541"/>
    <cellStyle name="常规 6 8 9 2" xfId="24542"/>
    <cellStyle name="常规 6 8 9 3" xfId="24543"/>
    <cellStyle name="常规 6 8 9 4" xfId="24544"/>
    <cellStyle name="常规 6 8 9 5" xfId="24545"/>
    <cellStyle name="常规 6 8 9 6" xfId="24546"/>
    <cellStyle name="常规 6 9" xfId="24547"/>
    <cellStyle name="常规 6 9 10" xfId="24548"/>
    <cellStyle name="常规 6 9 11" xfId="24549"/>
    <cellStyle name="常规 6 9 12" xfId="24550"/>
    <cellStyle name="常规 6 9 13" xfId="24551"/>
    <cellStyle name="常规 6 9 14" xfId="24552"/>
    <cellStyle name="常规 6 9 2" xfId="24553"/>
    <cellStyle name="常规 6 9 2 2" xfId="24554"/>
    <cellStyle name="常规 6 9 2 2 2" xfId="24555"/>
    <cellStyle name="常规 6 9 2 2 3" xfId="24556"/>
    <cellStyle name="常规 6 9 2 2 4" xfId="24557"/>
    <cellStyle name="常规 6 9 2 2 5" xfId="24558"/>
    <cellStyle name="常规 6 9 2 2 6" xfId="24559"/>
    <cellStyle name="常规 6 9 2 3" xfId="24560"/>
    <cellStyle name="常规 6 9 2 4" xfId="24561"/>
    <cellStyle name="常规 6 9 2 5" xfId="24562"/>
    <cellStyle name="常规 6 9 2 6" xfId="24563"/>
    <cellStyle name="常规 6 9 2 7" xfId="24564"/>
    <cellStyle name="常规 6 9 2 8" xfId="24565"/>
    <cellStyle name="常规 6 9 2 9" xfId="24566"/>
    <cellStyle name="常规 6 9 3" xfId="24567"/>
    <cellStyle name="常规 6 9 3 2" xfId="24568"/>
    <cellStyle name="常规 6 9 3 2 2" xfId="24569"/>
    <cellStyle name="常规 6 9 3 2 3" xfId="24570"/>
    <cellStyle name="常规 6 9 3 2 4" xfId="24571"/>
    <cellStyle name="常规 6 9 3 2 5" xfId="24572"/>
    <cellStyle name="常规 6 9 3 2 6" xfId="24573"/>
    <cellStyle name="常规 6 9 3 3" xfId="24574"/>
    <cellStyle name="常规 6 9 3 4" xfId="24575"/>
    <cellStyle name="常规 6 9 3 5" xfId="24576"/>
    <cellStyle name="常规 6 9 3 6" xfId="24577"/>
    <cellStyle name="常规 6 9 3 7" xfId="24578"/>
    <cellStyle name="常规 6 9 3 8" xfId="24579"/>
    <cellStyle name="常规 6 9 4" xfId="24580"/>
    <cellStyle name="常规 6 9 4 2" xfId="24581"/>
    <cellStyle name="常规 6 9 4 2 2" xfId="24582"/>
    <cellStyle name="常规 6 9 4 2 3" xfId="24583"/>
    <cellStyle name="常规 6 9 4 2 4" xfId="24584"/>
    <cellStyle name="常规 6 9 4 2 5" xfId="24585"/>
    <cellStyle name="常规 6 9 4 2 6" xfId="24586"/>
    <cellStyle name="常规 6 9 4 3" xfId="24587"/>
    <cellStyle name="常规 6 9 4 4" xfId="24588"/>
    <cellStyle name="常规 6 9 4 5" xfId="24589"/>
    <cellStyle name="常规 6 9 4 6" xfId="24590"/>
    <cellStyle name="常规 6 9 4 7" xfId="24591"/>
    <cellStyle name="常规 6 9 4 8" xfId="24592"/>
    <cellStyle name="常规 6 9 5" xfId="24593"/>
    <cellStyle name="常规 6 9 5 2" xfId="24594"/>
    <cellStyle name="常规 6 9 5 2 2" xfId="24595"/>
    <cellStyle name="常规 6 9 5 2 3" xfId="24596"/>
    <cellStyle name="常规 6 9 5 2 4" xfId="24597"/>
    <cellStyle name="常规 6 9 5 2 5" xfId="24598"/>
    <cellStyle name="常规 6 9 5 2 6" xfId="24599"/>
    <cellStyle name="常规 6 9 5 3" xfId="24600"/>
    <cellStyle name="常规 6 9 5 4" xfId="24601"/>
    <cellStyle name="常规 6 9 5 5" xfId="24602"/>
    <cellStyle name="常规 6 9 5 6" xfId="24603"/>
    <cellStyle name="常规 6 9 5 7" xfId="24604"/>
    <cellStyle name="常规 6 9 6" xfId="24605"/>
    <cellStyle name="常规 6 9 6 2" xfId="24606"/>
    <cellStyle name="常规 6 9 6 2 2" xfId="24607"/>
    <cellStyle name="常规 6 9 6 2 3" xfId="24608"/>
    <cellStyle name="常规 6 9 6 2 4" xfId="24609"/>
    <cellStyle name="常规 6 9 6 2 5" xfId="24610"/>
    <cellStyle name="常规 6 9 6 2 6" xfId="24611"/>
    <cellStyle name="常规 6 9 6 3" xfId="24612"/>
    <cellStyle name="常规 6 9 6 4" xfId="24613"/>
    <cellStyle name="常规 6 9 6 5" xfId="24614"/>
    <cellStyle name="常规 6 9 6 6" xfId="24615"/>
    <cellStyle name="常规 6 9 6 7" xfId="24616"/>
    <cellStyle name="常规 6 9 7" xfId="24617"/>
    <cellStyle name="常规 6 9 7 2" xfId="24618"/>
    <cellStyle name="常规 6 9 7 2 2" xfId="24619"/>
    <cellStyle name="常规 6 9 7 2 3" xfId="24620"/>
    <cellStyle name="常规 6 9 7 2 4" xfId="24621"/>
    <cellStyle name="常规 6 9 7 2 5" xfId="24622"/>
    <cellStyle name="常规 6 9 7 2 6" xfId="24623"/>
    <cellStyle name="常规 6 9 7 3" xfId="24624"/>
    <cellStyle name="常规 6 9 7 4" xfId="24625"/>
    <cellStyle name="常规 6 9 7 5" xfId="24626"/>
    <cellStyle name="常规 6 9 7 6" xfId="24627"/>
    <cellStyle name="常规 6 9 7 7" xfId="24628"/>
    <cellStyle name="常规 6 9 8" xfId="24629"/>
    <cellStyle name="常规 6 9 8 2" xfId="24630"/>
    <cellStyle name="常规 6 9 8 3" xfId="24631"/>
    <cellStyle name="常规 6 9 8 4" xfId="24632"/>
    <cellStyle name="常规 6 9 8 5" xfId="24633"/>
    <cellStyle name="常规 6 9 8 6" xfId="24634"/>
    <cellStyle name="常规 6 9 9" xfId="24635"/>
    <cellStyle name="常规 60" xfId="24636"/>
    <cellStyle name="常规 60 2" xfId="24637"/>
    <cellStyle name="常规 60 2 2" xfId="24638"/>
    <cellStyle name="常规 60 3" xfId="24639"/>
    <cellStyle name="常规 60 4" xfId="24640"/>
    <cellStyle name="常规 61" xfId="24641"/>
    <cellStyle name="常规 61 2" xfId="24642"/>
    <cellStyle name="常规 61 2 2" xfId="24643"/>
    <cellStyle name="常规 61 3" xfId="24644"/>
    <cellStyle name="常规 62" xfId="24645"/>
    <cellStyle name="常规 63" xfId="24646"/>
    <cellStyle name="常规 64" xfId="24647"/>
    <cellStyle name="常规 65" xfId="24648"/>
    <cellStyle name="常规 65 2" xfId="24649"/>
    <cellStyle name="常规 65 2 2" xfId="24650"/>
    <cellStyle name="常规 65 3" xfId="24651"/>
    <cellStyle name="常规 65 4" xfId="24652"/>
    <cellStyle name="常规 65 5" xfId="24653"/>
    <cellStyle name="常规 66" xfId="24654"/>
    <cellStyle name="常规 66 2" xfId="24655"/>
    <cellStyle name="常规 66 2 2" xfId="24656"/>
    <cellStyle name="常规 66 3" xfId="24657"/>
    <cellStyle name="常规 66 4" xfId="24658"/>
    <cellStyle name="常规 66 5" xfId="24659"/>
    <cellStyle name="常规 67" xfId="24660"/>
    <cellStyle name="常规 67 2" xfId="24661"/>
    <cellStyle name="常规 67 2 2" xfId="24662"/>
    <cellStyle name="常规 67 3" xfId="24663"/>
    <cellStyle name="常规 67 4" xfId="24664"/>
    <cellStyle name="常规 67 5" xfId="24665"/>
    <cellStyle name="常规 68" xfId="24666"/>
    <cellStyle name="常规 68 2" xfId="24667"/>
    <cellStyle name="常规 68 2 2" xfId="24668"/>
    <cellStyle name="常规 68 3" xfId="24669"/>
    <cellStyle name="常规 68 4" xfId="24670"/>
    <cellStyle name="常规 68 5" xfId="24671"/>
    <cellStyle name="常规 69" xfId="24672"/>
    <cellStyle name="常规 69 2" xfId="24673"/>
    <cellStyle name="常规 69 2 2" xfId="24674"/>
    <cellStyle name="常规 69 3" xfId="24675"/>
    <cellStyle name="常规 69 4" xfId="24676"/>
    <cellStyle name="常规 69 5" xfId="24677"/>
    <cellStyle name="常规 7" xfId="24678"/>
    <cellStyle name="常规 7 10" xfId="24679"/>
    <cellStyle name="常规 7 10 2" xfId="24680"/>
    <cellStyle name="常规 7 10 3" xfId="24681"/>
    <cellStyle name="常规 7 10 4" xfId="24682"/>
    <cellStyle name="常规 7 10 5" xfId="24683"/>
    <cellStyle name="常规 7 10 6" xfId="24684"/>
    <cellStyle name="常规 7 10 7" xfId="24685"/>
    <cellStyle name="常规 7 10 8" xfId="24686"/>
    <cellStyle name="常规 7 11" xfId="24687"/>
    <cellStyle name="常规 7 11 2" xfId="24688"/>
    <cellStyle name="常规 7 12" xfId="24689"/>
    <cellStyle name="常规 7 12 2" xfId="24690"/>
    <cellStyle name="常规 7 13" xfId="24691"/>
    <cellStyle name="常规 7 13 2" xfId="24692"/>
    <cellStyle name="常规 7 14" xfId="24693"/>
    <cellStyle name="常规 7 15" xfId="24694"/>
    <cellStyle name="常规 7 16" xfId="24695"/>
    <cellStyle name="常规 7 17" xfId="24696"/>
    <cellStyle name="常规 7 2" xfId="24697"/>
    <cellStyle name="常规 7 2 10" xfId="24698"/>
    <cellStyle name="常规 7 2 11" xfId="24699"/>
    <cellStyle name="常规 7 2 12" xfId="24700"/>
    <cellStyle name="常规 7 2 13" xfId="24701"/>
    <cellStyle name="常规 7 2 2" xfId="24702"/>
    <cellStyle name="常规 7 2 2 2" xfId="24703"/>
    <cellStyle name="常规 7 2 2 2 2" xfId="24704"/>
    <cellStyle name="常规 7 2 2 2 2 2" xfId="24705"/>
    <cellStyle name="常规 7 2 2 2 2 2 2" xfId="24706"/>
    <cellStyle name="常规 7 2 2 2 2 3" xfId="24707"/>
    <cellStyle name="常规 7 2 2 2 2 4" xfId="24708"/>
    <cellStyle name="常规 7 2 2 2 3" xfId="24709"/>
    <cellStyle name="常规 7 2 2 2 3 2" xfId="24710"/>
    <cellStyle name="常规 7 2 2 2 3 2 2" xfId="24711"/>
    <cellStyle name="常规 7 2 2 2 3 3" xfId="24712"/>
    <cellStyle name="常规 7 2 2 2 3 4" xfId="24713"/>
    <cellStyle name="常规 7 2 2 2 4" xfId="24714"/>
    <cellStyle name="常规 7 2 2 2 4 2" xfId="24715"/>
    <cellStyle name="常规 7 2 2 2 5" xfId="24716"/>
    <cellStyle name="常规 7 2 2 2 6" xfId="24717"/>
    <cellStyle name="常规 7 2 2 2 7" xfId="24718"/>
    <cellStyle name="常规 7 2 2 3" xfId="24719"/>
    <cellStyle name="常规 7 2 2 3 2" xfId="24720"/>
    <cellStyle name="常规 7 2 2 3 2 2" xfId="24721"/>
    <cellStyle name="常规 7 2 2 3 2 3" xfId="24722"/>
    <cellStyle name="常规 7 2 2 3 3" xfId="24723"/>
    <cellStyle name="常规 7 2 2 3 3 2" xfId="24724"/>
    <cellStyle name="常规 7 2 2 3 4" xfId="24725"/>
    <cellStyle name="常规 7 2 2 3 4 2" xfId="24726"/>
    <cellStyle name="常规 7 2 2 3 5" xfId="24727"/>
    <cellStyle name="常规 7 2 2 3 6" xfId="24728"/>
    <cellStyle name="常规 7 2 2 3 7" xfId="24729"/>
    <cellStyle name="常规 7 2 2 4" xfId="24730"/>
    <cellStyle name="常规 7 2 2 4 2" xfId="24731"/>
    <cellStyle name="常规 7 2 2 4 2 2" xfId="24732"/>
    <cellStyle name="常规 7 2 2 4 3" xfId="24733"/>
    <cellStyle name="常规 7 2 2 4 4" xfId="24734"/>
    <cellStyle name="常规 7 2 2 4 5" xfId="24735"/>
    <cellStyle name="常规 7 2 2 5" xfId="24736"/>
    <cellStyle name="常规 7 2 2 5 2" xfId="24737"/>
    <cellStyle name="常规 7 2 2 5 3" xfId="24738"/>
    <cellStyle name="常规 7 2 2 6" xfId="24739"/>
    <cellStyle name="常规 7 2 2 6 2" xfId="24740"/>
    <cellStyle name="常规 7 2 2 7" xfId="24741"/>
    <cellStyle name="常规 7 2 2 7 2" xfId="24742"/>
    <cellStyle name="常规 7 2 2 8" xfId="24743"/>
    <cellStyle name="常规 7 2 2 9" xfId="24744"/>
    <cellStyle name="常规 7 2 3" xfId="24745"/>
    <cellStyle name="常规 7 2 3 2" xfId="24746"/>
    <cellStyle name="常规 7 2 3 2 2" xfId="24747"/>
    <cellStyle name="常规 7 2 3 2 2 2" xfId="24748"/>
    <cellStyle name="常规 7 2 3 2 3" xfId="24749"/>
    <cellStyle name="常规 7 2 3 2 4" xfId="24750"/>
    <cellStyle name="常规 7 2 3 3" xfId="24751"/>
    <cellStyle name="常规 7 2 3 3 2" xfId="24752"/>
    <cellStyle name="常规 7 2 3 3 2 2" xfId="24753"/>
    <cellStyle name="常规 7 2 3 3 3" xfId="24754"/>
    <cellStyle name="常规 7 2 3 3 4" xfId="24755"/>
    <cellStyle name="常规 7 2 3 4" xfId="24756"/>
    <cellStyle name="常规 7 2 3 4 2" xfId="24757"/>
    <cellStyle name="常规 7 2 3 5" xfId="24758"/>
    <cellStyle name="常规 7 2 3 6" xfId="24759"/>
    <cellStyle name="常规 7 2 3 7" xfId="24760"/>
    <cellStyle name="常规 7 2 4" xfId="24761"/>
    <cellStyle name="常规 7 2 4 2" xfId="24762"/>
    <cellStyle name="常规 7 2 4 2 2" xfId="24763"/>
    <cellStyle name="常规 7 2 4 2 3" xfId="24764"/>
    <cellStyle name="常规 7 2 4 2 4" xfId="24765"/>
    <cellStyle name="常规 7 2 4 2 5" xfId="24766"/>
    <cellStyle name="常规 7 2 4 2 6" xfId="24767"/>
    <cellStyle name="常规 7 2 4 2 7" xfId="24768"/>
    <cellStyle name="常规 7 2 4 2 8" xfId="24769"/>
    <cellStyle name="常规 7 2 4 3" xfId="24770"/>
    <cellStyle name="常规 7 2 4 3 2" xfId="24771"/>
    <cellStyle name="常规 7 2 4 4" xfId="24772"/>
    <cellStyle name="常规 7 2 4 4 2" xfId="24773"/>
    <cellStyle name="常规 7 2 4 5" xfId="24774"/>
    <cellStyle name="常规 7 2 4 6" xfId="24775"/>
    <cellStyle name="常规 7 2 4 7" xfId="24776"/>
    <cellStyle name="常规 7 2 4 8" xfId="24777"/>
    <cellStyle name="常规 7 2 5" xfId="24778"/>
    <cellStyle name="常规 7 2 5 2" xfId="24779"/>
    <cellStyle name="常规 7 2 5 2 2" xfId="24780"/>
    <cellStyle name="常规 7 2 5 2 3" xfId="24781"/>
    <cellStyle name="常规 7 2 5 3" xfId="24782"/>
    <cellStyle name="常规 7 2 5 3 2" xfId="24783"/>
    <cellStyle name="常规 7 2 5 4" xfId="24784"/>
    <cellStyle name="常规 7 2 5 4 2" xfId="24785"/>
    <cellStyle name="常规 7 2 5 5" xfId="24786"/>
    <cellStyle name="常规 7 2 5 6" xfId="24787"/>
    <cellStyle name="常规 7 2 5 7" xfId="24788"/>
    <cellStyle name="常规 7 2 6" xfId="24789"/>
    <cellStyle name="常规 7 2 6 2" xfId="24790"/>
    <cellStyle name="常规 7 2 6 3" xfId="24791"/>
    <cellStyle name="常规 7 2 6 4" xfId="24792"/>
    <cellStyle name="常规 7 2 6 5" xfId="24793"/>
    <cellStyle name="常规 7 2 6 6" xfId="24794"/>
    <cellStyle name="常规 7 2 6 7" xfId="24795"/>
    <cellStyle name="常规 7 2 6 8" xfId="24796"/>
    <cellStyle name="常规 7 2 7" xfId="24797"/>
    <cellStyle name="常规 7 2 7 2" xfId="24798"/>
    <cellStyle name="常规 7 2 8" xfId="24799"/>
    <cellStyle name="常规 7 2 8 2" xfId="24800"/>
    <cellStyle name="常规 7 2 9" xfId="24801"/>
    <cellStyle name="常规 7 2 9 2" xfId="24802"/>
    <cellStyle name="常规 7 3" xfId="24803"/>
    <cellStyle name="常规 7 3 10" xfId="24804"/>
    <cellStyle name="常规 7 3 2" xfId="24805"/>
    <cellStyle name="常规 7 3 2 2" xfId="24806"/>
    <cellStyle name="常规 7 3 2 2 2" xfId="24807"/>
    <cellStyle name="常规 7 3 2 2 2 2" xfId="24808"/>
    <cellStyle name="常规 7 3 2 2 2 2 2" xfId="24809"/>
    <cellStyle name="常规 7 3 2 2 2 3" xfId="24810"/>
    <cellStyle name="常规 7 3 2 2 2 4" xfId="24811"/>
    <cellStyle name="常规 7 3 2 2 3" xfId="24812"/>
    <cellStyle name="常规 7 3 2 2 3 2" xfId="24813"/>
    <cellStyle name="常规 7 3 2 2 4" xfId="24814"/>
    <cellStyle name="常规 7 3 2 2 5" xfId="24815"/>
    <cellStyle name="常规 7 3 2 2 6" xfId="24816"/>
    <cellStyle name="常规 7 3 2 3" xfId="24817"/>
    <cellStyle name="常规 7 3 2 3 2" xfId="24818"/>
    <cellStyle name="常规 7 3 2 3 2 2" xfId="24819"/>
    <cellStyle name="常规 7 3 2 3 2 3" xfId="24820"/>
    <cellStyle name="常规 7 3 2 3 3" xfId="24821"/>
    <cellStyle name="常规 7 3 2 3 3 2" xfId="24822"/>
    <cellStyle name="常规 7 3 2 3 4" xfId="24823"/>
    <cellStyle name="常规 7 3 2 3 4 2" xfId="24824"/>
    <cellStyle name="常规 7 3 2 3 5" xfId="24825"/>
    <cellStyle name="常规 7 3 2 3 6" xfId="24826"/>
    <cellStyle name="常规 7 3 2 3 7" xfId="24827"/>
    <cellStyle name="常规 7 3 2 4" xfId="24828"/>
    <cellStyle name="常规 7 3 2 4 2" xfId="24829"/>
    <cellStyle name="常规 7 3 2 4 3" xfId="24830"/>
    <cellStyle name="常规 7 3 2 5" xfId="24831"/>
    <cellStyle name="常规 7 3 2 5 2" xfId="24832"/>
    <cellStyle name="常规 7 3 2 6" xfId="24833"/>
    <cellStyle name="常规 7 3 2 6 2" xfId="24834"/>
    <cellStyle name="常规 7 3 2 7" xfId="24835"/>
    <cellStyle name="常规 7 3 2 8" xfId="24836"/>
    <cellStyle name="常规 7 3 2 9" xfId="24837"/>
    <cellStyle name="常规 7 3 3" xfId="24838"/>
    <cellStyle name="常规 7 3 3 2" xfId="24839"/>
    <cellStyle name="常规 7 3 3 2 2" xfId="24840"/>
    <cellStyle name="常规 7 3 3 2 2 2" xfId="24841"/>
    <cellStyle name="常规 7 3 3 2 2 3" xfId="24842"/>
    <cellStyle name="常规 7 3 3 2 3" xfId="24843"/>
    <cellStyle name="常规 7 3 3 2 3 2" xfId="24844"/>
    <cellStyle name="常规 7 3 3 2 4" xfId="24845"/>
    <cellStyle name="常规 7 3 3 2 4 2" xfId="24846"/>
    <cellStyle name="常规 7 3 3 2 5" xfId="24847"/>
    <cellStyle name="常规 7 3 3 2 6" xfId="24848"/>
    <cellStyle name="常规 7 3 3 2 7" xfId="24849"/>
    <cellStyle name="常规 7 3 3 3" xfId="24850"/>
    <cellStyle name="常规 7 3 3 3 2" xfId="24851"/>
    <cellStyle name="常规 7 3 3 3 2 2" xfId="24852"/>
    <cellStyle name="常规 7 3 3 3 3" xfId="24853"/>
    <cellStyle name="常规 7 3 3 3 4" xfId="24854"/>
    <cellStyle name="常规 7 3 3 3 5" xfId="24855"/>
    <cellStyle name="常规 7 3 3 4" xfId="24856"/>
    <cellStyle name="常规 7 3 3 4 2" xfId="24857"/>
    <cellStyle name="常规 7 3 3 4 3" xfId="24858"/>
    <cellStyle name="常规 7 3 3 5" xfId="24859"/>
    <cellStyle name="常规 7 3 3 5 2" xfId="24860"/>
    <cellStyle name="常规 7 3 3 6" xfId="24861"/>
    <cellStyle name="常规 7 3 3 6 2" xfId="24862"/>
    <cellStyle name="常规 7 3 3 7" xfId="24863"/>
    <cellStyle name="常规 7 3 3 8" xfId="24864"/>
    <cellStyle name="常规 7 3 4" xfId="24865"/>
    <cellStyle name="常规 7 3 4 2" xfId="24866"/>
    <cellStyle name="常规 7 3 4 2 2" xfId="24867"/>
    <cellStyle name="常规 7 3 4 2 3" xfId="24868"/>
    <cellStyle name="常规 7 3 4 3" xfId="24869"/>
    <cellStyle name="常规 7 3 4 3 2" xfId="24870"/>
    <cellStyle name="常规 7 3 4 4" xfId="24871"/>
    <cellStyle name="常规 7 3 4 4 2" xfId="24872"/>
    <cellStyle name="常规 7 3 4 5" xfId="24873"/>
    <cellStyle name="常规 7 3 4 6" xfId="24874"/>
    <cellStyle name="常规 7 3 4 7" xfId="24875"/>
    <cellStyle name="常规 7 3 5" xfId="24876"/>
    <cellStyle name="常规 7 3 5 2" xfId="24877"/>
    <cellStyle name="常规 7 3 5 2 2" xfId="24878"/>
    <cellStyle name="常规 7 3 5 3" xfId="24879"/>
    <cellStyle name="常规 7 3 5 4" xfId="24880"/>
    <cellStyle name="常规 7 3 5 5" xfId="24881"/>
    <cellStyle name="常规 7 3 6" xfId="24882"/>
    <cellStyle name="常规 7 3 6 2" xfId="24883"/>
    <cellStyle name="常规 7 3 6 3" xfId="24884"/>
    <cellStyle name="常规 7 3 7" xfId="24885"/>
    <cellStyle name="常规 7 3 7 2" xfId="24886"/>
    <cellStyle name="常规 7 3 8" xfId="24887"/>
    <cellStyle name="常规 7 3 8 2" xfId="24888"/>
    <cellStyle name="常规 7 3 9" xfId="24889"/>
    <cellStyle name="常规 7 3 9 2" xfId="24890"/>
    <cellStyle name="常规 7 4" xfId="24891"/>
    <cellStyle name="常规 7 4 2" xfId="24892"/>
    <cellStyle name="常规 7 4 2 2" xfId="24893"/>
    <cellStyle name="常规 7 4 3" xfId="24894"/>
    <cellStyle name="常规 7 4 3 2" xfId="24895"/>
    <cellStyle name="常规 7 4 3 3" xfId="24896"/>
    <cellStyle name="常规 7 4 3 4" xfId="24897"/>
    <cellStyle name="常规 7 4 3 5" xfId="24898"/>
    <cellStyle name="常规 7 4 3 6" xfId="24899"/>
    <cellStyle name="常规 7 4 4" xfId="24900"/>
    <cellStyle name="常规 7 4 5" xfId="24901"/>
    <cellStyle name="常规 7 4 6" xfId="24902"/>
    <cellStyle name="常规 7 4 7" xfId="24903"/>
    <cellStyle name="常规 7 4 8" xfId="24904"/>
    <cellStyle name="常规 7 4 9" xfId="24905"/>
    <cellStyle name="常规 7 5" xfId="24906"/>
    <cellStyle name="常规 7 5 2" xfId="24907"/>
    <cellStyle name="常规 7 5 2 2" xfId="24908"/>
    <cellStyle name="常规 7 5 2 2 2" xfId="24909"/>
    <cellStyle name="常规 7 5 2 2 2 2" xfId="24910"/>
    <cellStyle name="常规 7 5 2 2 3" xfId="24911"/>
    <cellStyle name="常规 7 5 2 2 4" xfId="24912"/>
    <cellStyle name="常规 7 5 2 3" xfId="24913"/>
    <cellStyle name="常规 7 5 2 3 2" xfId="24914"/>
    <cellStyle name="常规 7 5 2 3 2 2" xfId="24915"/>
    <cellStyle name="常规 7 5 2 3 3" xfId="24916"/>
    <cellStyle name="常规 7 5 2 3 4" xfId="24917"/>
    <cellStyle name="常规 7 5 2 4" xfId="24918"/>
    <cellStyle name="常规 7 5 2 4 2" xfId="24919"/>
    <cellStyle name="常规 7 5 2 5" xfId="24920"/>
    <cellStyle name="常规 7 5 2 6" xfId="24921"/>
    <cellStyle name="常规 7 5 2 7" xfId="24922"/>
    <cellStyle name="常规 7 5 3" xfId="24923"/>
    <cellStyle name="常规 7 5 3 2" xfId="24924"/>
    <cellStyle name="常规 7 5 3 2 2" xfId="24925"/>
    <cellStyle name="常规 7 5 3 3" xfId="24926"/>
    <cellStyle name="常规 7 5 3 4" xfId="24927"/>
    <cellStyle name="常规 7 5 4" xfId="24928"/>
    <cellStyle name="常规 7 5 4 2" xfId="24929"/>
    <cellStyle name="常规 7 5 4 2 2" xfId="24930"/>
    <cellStyle name="常规 7 5 4 3" xfId="24931"/>
    <cellStyle name="常规 7 5 4 4" xfId="24932"/>
    <cellStyle name="常规 7 5 5" xfId="24933"/>
    <cellStyle name="常规 7 5 5 2" xfId="24934"/>
    <cellStyle name="常规 7 5 6" xfId="24935"/>
    <cellStyle name="常规 7 5 7" xfId="24936"/>
    <cellStyle name="常规 7 5 8" xfId="24937"/>
    <cellStyle name="常规 7 5 9" xfId="24938"/>
    <cellStyle name="常规 7 6" xfId="24939"/>
    <cellStyle name="常规 7 6 2" xfId="24940"/>
    <cellStyle name="常规 7 6 2 2" xfId="24941"/>
    <cellStyle name="常规 7 6 2 2 2" xfId="24942"/>
    <cellStyle name="常规 7 6 2 3" xfId="24943"/>
    <cellStyle name="常规 7 6 2 4" xfId="24944"/>
    <cellStyle name="常规 7 6 3" xfId="24945"/>
    <cellStyle name="常规 7 6 3 2" xfId="24946"/>
    <cellStyle name="常规 7 6 4" xfId="24947"/>
    <cellStyle name="常规 7 6 4 2" xfId="24948"/>
    <cellStyle name="常规 7 6 5" xfId="24949"/>
    <cellStyle name="常规 7 6 6" xfId="24950"/>
    <cellStyle name="常规 7 6 7" xfId="24951"/>
    <cellStyle name="常规 7 7" xfId="24952"/>
    <cellStyle name="常规 7 7 2" xfId="24953"/>
    <cellStyle name="常规 7 7 3" xfId="24954"/>
    <cellStyle name="常规 7 7 3 2" xfId="24955"/>
    <cellStyle name="常规 7 7 4" xfId="24956"/>
    <cellStyle name="常规 7 7 5" xfId="24957"/>
    <cellStyle name="常规 7 7 6" xfId="24958"/>
    <cellStyle name="常规 7 8" xfId="24959"/>
    <cellStyle name="常规 7 8 2" xfId="24960"/>
    <cellStyle name="常规 7 8 2 2" xfId="24961"/>
    <cellStyle name="常规 7 8 3" xfId="24962"/>
    <cellStyle name="常规 7 8 4" xfId="24963"/>
    <cellStyle name="常规 7 8 5" xfId="24964"/>
    <cellStyle name="常规 7 9" xfId="24965"/>
    <cellStyle name="常规 7 9 2" xfId="24966"/>
    <cellStyle name="常规 7 9 2 2" xfId="24967"/>
    <cellStyle name="常规 7 9 2 3" xfId="24968"/>
    <cellStyle name="常规 7 9 3" xfId="24969"/>
    <cellStyle name="常规 7 9 3 2" xfId="24970"/>
    <cellStyle name="常规 7 9 4" xfId="24971"/>
    <cellStyle name="常规 7 9 4 2" xfId="24972"/>
    <cellStyle name="常规 7 9 5" xfId="24973"/>
    <cellStyle name="常规 7 9 6" xfId="24974"/>
    <cellStyle name="常规 7 9 7" xfId="24975"/>
    <cellStyle name="常规 70" xfId="24976"/>
    <cellStyle name="常规 70 2" xfId="24977"/>
    <cellStyle name="常规 70 2 2" xfId="24978"/>
    <cellStyle name="常规 70 3" xfId="24979"/>
    <cellStyle name="常规 70 4" xfId="24980"/>
    <cellStyle name="常规 70 5" xfId="24981"/>
    <cellStyle name="常规 71" xfId="24982"/>
    <cellStyle name="常规 71 2" xfId="24983"/>
    <cellStyle name="常规 71 2 2" xfId="24984"/>
    <cellStyle name="常规 71 3" xfId="24985"/>
    <cellStyle name="常规 71 4" xfId="24986"/>
    <cellStyle name="常规 71 5" xfId="24987"/>
    <cellStyle name="常规 72" xfId="24988"/>
    <cellStyle name="常规 72 2" xfId="24989"/>
    <cellStyle name="常规 72 2 2" xfId="24990"/>
    <cellStyle name="常规 72 3" xfId="24991"/>
    <cellStyle name="常规 72 4" xfId="24992"/>
    <cellStyle name="常规 72 5" xfId="24993"/>
    <cellStyle name="常规 73" xfId="24994"/>
    <cellStyle name="常规 73 10" xfId="24995"/>
    <cellStyle name="常规 73 10 2" xfId="24996"/>
    <cellStyle name="常规 73 11" xfId="24997"/>
    <cellStyle name="常规 73 11 2" xfId="24998"/>
    <cellStyle name="常规 73 12" xfId="24999"/>
    <cellStyle name="常规 73 12 2" xfId="25000"/>
    <cellStyle name="常规 73 13" xfId="25001"/>
    <cellStyle name="常规 73 2" xfId="25002"/>
    <cellStyle name="常规 73 2 10" xfId="25003"/>
    <cellStyle name="常规 73 2 11" xfId="25004"/>
    <cellStyle name="常规 73 2 2" xfId="25005"/>
    <cellStyle name="常规 73 2 2 2" xfId="25006"/>
    <cellStyle name="常规 73 2 3" xfId="25007"/>
    <cellStyle name="常规 73 2 3 2" xfId="25008"/>
    <cellStyle name="常规 73 2 4" xfId="25009"/>
    <cellStyle name="常规 73 2 4 2" xfId="25010"/>
    <cellStyle name="常规 73 2 5" xfId="25011"/>
    <cellStyle name="常规 73 2 5 2" xfId="25012"/>
    <cellStyle name="常规 73 2 6" xfId="25013"/>
    <cellStyle name="常规 73 2 6 2" xfId="25014"/>
    <cellStyle name="常规 73 2 7" xfId="25015"/>
    <cellStyle name="常规 73 2 7 2" xfId="25016"/>
    <cellStyle name="常规 73 2 8" xfId="25017"/>
    <cellStyle name="常规 73 2 8 2" xfId="25018"/>
    <cellStyle name="常规 73 2 9" xfId="25019"/>
    <cellStyle name="常规 73 2 9 2" xfId="25020"/>
    <cellStyle name="常规 73 3" xfId="25021"/>
    <cellStyle name="常规 73 3 2" xfId="25022"/>
    <cellStyle name="常规 73 3 3" xfId="25023"/>
    <cellStyle name="常规 73 4" xfId="25024"/>
    <cellStyle name="常规 73 4 2" xfId="25025"/>
    <cellStyle name="常规 73 5" xfId="25026"/>
    <cellStyle name="常规 73 5 2" xfId="25027"/>
    <cellStyle name="常规 73 5 3" xfId="25028"/>
    <cellStyle name="常规 73 6" xfId="25029"/>
    <cellStyle name="常规 73 6 2" xfId="25030"/>
    <cellStyle name="常规 73 7" xfId="25031"/>
    <cellStyle name="常规 73 7 2" xfId="25032"/>
    <cellStyle name="常规 73 8" xfId="25033"/>
    <cellStyle name="常规 73 8 2" xfId="25034"/>
    <cellStyle name="常规 73 9" xfId="25035"/>
    <cellStyle name="常规 73 9 2" xfId="25036"/>
    <cellStyle name="常规 74" xfId="25037"/>
    <cellStyle name="常规 74 2" xfId="25038"/>
    <cellStyle name="常规 74 2 2" xfId="25039"/>
    <cellStyle name="常规 74 3" xfId="25040"/>
    <cellStyle name="常规 74 4" xfId="25041"/>
    <cellStyle name="常规 74 5" xfId="25042"/>
    <cellStyle name="常规 75" xfId="25043"/>
    <cellStyle name="常规 75 2" xfId="25044"/>
    <cellStyle name="常规 75 2 2" xfId="25045"/>
    <cellStyle name="常规 75 3" xfId="25046"/>
    <cellStyle name="常规 75 4" xfId="25047"/>
    <cellStyle name="常规 75 5" xfId="25048"/>
    <cellStyle name="常规 76" xfId="25049"/>
    <cellStyle name="常规 76 2" xfId="25050"/>
    <cellStyle name="常规 76 2 2" xfId="25051"/>
    <cellStyle name="常规 76 3" xfId="25052"/>
    <cellStyle name="常规 76 4" xfId="25053"/>
    <cellStyle name="常规 76 5" xfId="25054"/>
    <cellStyle name="常规 77" xfId="25055"/>
    <cellStyle name="常规 77 2" xfId="25056"/>
    <cellStyle name="常规 77 2 2" xfId="25057"/>
    <cellStyle name="常规 77 3" xfId="25058"/>
    <cellStyle name="常规 77 4" xfId="25059"/>
    <cellStyle name="常规 77 5" xfId="25060"/>
    <cellStyle name="常规 78" xfId="25061"/>
    <cellStyle name="常规 78 2" xfId="25062"/>
    <cellStyle name="常规 78 2 2" xfId="25063"/>
    <cellStyle name="常规 78 3" xfId="25064"/>
    <cellStyle name="常规 78 4" xfId="25065"/>
    <cellStyle name="常规 78 5" xfId="25066"/>
    <cellStyle name="常规 79" xfId="25067"/>
    <cellStyle name="常规 79 2" xfId="25068"/>
    <cellStyle name="常规 79 2 2" xfId="25069"/>
    <cellStyle name="常规 79 3" xfId="25070"/>
    <cellStyle name="常规 79 4" xfId="25071"/>
    <cellStyle name="常规 79 5" xfId="25072"/>
    <cellStyle name="常规 8" xfId="25073"/>
    <cellStyle name="常规 8 10" xfId="25074"/>
    <cellStyle name="常规 8 10 10" xfId="25075"/>
    <cellStyle name="常规 8 10 11" xfId="25076"/>
    <cellStyle name="常规 8 10 12" xfId="25077"/>
    <cellStyle name="常规 8 10 13" xfId="25078"/>
    <cellStyle name="常规 8 10 2" xfId="25079"/>
    <cellStyle name="常规 8 10 2 2" xfId="25080"/>
    <cellStyle name="常规 8 10 2 2 2" xfId="25081"/>
    <cellStyle name="常规 8 10 2 2 3" xfId="25082"/>
    <cellStyle name="常规 8 10 2 2 4" xfId="25083"/>
    <cellStyle name="常规 8 10 2 2 5" xfId="25084"/>
    <cellStyle name="常规 8 10 2 2 6" xfId="25085"/>
    <cellStyle name="常规 8 10 2 3" xfId="25086"/>
    <cellStyle name="常规 8 10 2 4" xfId="25087"/>
    <cellStyle name="常规 8 10 2 5" xfId="25088"/>
    <cellStyle name="常规 8 10 2 6" xfId="25089"/>
    <cellStyle name="常规 8 10 2 7" xfId="25090"/>
    <cellStyle name="常规 8 10 3" xfId="25091"/>
    <cellStyle name="常规 8 10 3 2" xfId="25092"/>
    <cellStyle name="常规 8 10 3 2 2" xfId="25093"/>
    <cellStyle name="常规 8 10 3 2 3" xfId="25094"/>
    <cellStyle name="常规 8 10 3 2 4" xfId="25095"/>
    <cellStyle name="常规 8 10 3 2 5" xfId="25096"/>
    <cellStyle name="常规 8 10 3 2 6" xfId="25097"/>
    <cellStyle name="常规 8 10 3 3" xfId="25098"/>
    <cellStyle name="常规 8 10 3 4" xfId="25099"/>
    <cellStyle name="常规 8 10 3 5" xfId="25100"/>
    <cellStyle name="常规 8 10 3 6" xfId="25101"/>
    <cellStyle name="常规 8 10 3 7" xfId="25102"/>
    <cellStyle name="常规 8 10 4" xfId="25103"/>
    <cellStyle name="常规 8 10 4 2" xfId="25104"/>
    <cellStyle name="常规 8 10 4 2 2" xfId="25105"/>
    <cellStyle name="常规 8 10 4 2 3" xfId="25106"/>
    <cellStyle name="常规 8 10 4 2 4" xfId="25107"/>
    <cellStyle name="常规 8 10 4 2 5" xfId="25108"/>
    <cellStyle name="常规 8 10 4 2 6" xfId="25109"/>
    <cellStyle name="常规 8 10 4 3" xfId="25110"/>
    <cellStyle name="常规 8 10 4 4" xfId="25111"/>
    <cellStyle name="常规 8 10 4 5" xfId="25112"/>
    <cellStyle name="常规 8 10 4 6" xfId="25113"/>
    <cellStyle name="常规 8 10 4 7" xfId="25114"/>
    <cellStyle name="常规 8 10 5" xfId="25115"/>
    <cellStyle name="常规 8 10 5 2" xfId="25116"/>
    <cellStyle name="常规 8 10 5 2 2" xfId="25117"/>
    <cellStyle name="常规 8 10 5 2 3" xfId="25118"/>
    <cellStyle name="常规 8 10 5 2 4" xfId="25119"/>
    <cellStyle name="常规 8 10 5 2 5" xfId="25120"/>
    <cellStyle name="常规 8 10 5 2 6" xfId="25121"/>
    <cellStyle name="常规 8 10 5 3" xfId="25122"/>
    <cellStyle name="常规 8 10 5 4" xfId="25123"/>
    <cellStyle name="常规 8 10 5 5" xfId="25124"/>
    <cellStyle name="常规 8 10 5 6" xfId="25125"/>
    <cellStyle name="常规 8 10 5 7" xfId="25126"/>
    <cellStyle name="常规 8 10 6" xfId="25127"/>
    <cellStyle name="常规 8 10 6 2" xfId="25128"/>
    <cellStyle name="常规 8 10 6 2 2" xfId="25129"/>
    <cellStyle name="常规 8 10 6 2 3" xfId="25130"/>
    <cellStyle name="常规 8 10 6 2 4" xfId="25131"/>
    <cellStyle name="常规 8 10 6 2 5" xfId="25132"/>
    <cellStyle name="常规 8 10 6 2 6" xfId="25133"/>
    <cellStyle name="常规 8 10 6 3" xfId="25134"/>
    <cellStyle name="常规 8 10 6 4" xfId="25135"/>
    <cellStyle name="常规 8 10 6 5" xfId="25136"/>
    <cellStyle name="常规 8 10 6 6" xfId="25137"/>
    <cellStyle name="常规 8 10 6 7" xfId="25138"/>
    <cellStyle name="常规 8 10 7" xfId="25139"/>
    <cellStyle name="常规 8 10 7 2" xfId="25140"/>
    <cellStyle name="常规 8 10 7 3" xfId="25141"/>
    <cellStyle name="常规 8 10 7 4" xfId="25142"/>
    <cellStyle name="常规 8 10 7 5" xfId="25143"/>
    <cellStyle name="常规 8 10 7 6" xfId="25144"/>
    <cellStyle name="常规 8 10 8" xfId="25145"/>
    <cellStyle name="常规 8 10 9" xfId="25146"/>
    <cellStyle name="常规 8 11" xfId="25147"/>
    <cellStyle name="常规 8 11 10" xfId="25148"/>
    <cellStyle name="常规 8 11 11" xfId="25149"/>
    <cellStyle name="常规 8 11 12" xfId="25150"/>
    <cellStyle name="常规 8 11 2" xfId="25151"/>
    <cellStyle name="常规 8 11 2 2" xfId="25152"/>
    <cellStyle name="常规 8 11 2 2 2" xfId="25153"/>
    <cellStyle name="常规 8 11 2 2 3" xfId="25154"/>
    <cellStyle name="常规 8 11 2 2 4" xfId="25155"/>
    <cellStyle name="常规 8 11 2 2 5" xfId="25156"/>
    <cellStyle name="常规 8 11 2 2 6" xfId="25157"/>
    <cellStyle name="常规 8 11 2 3" xfId="25158"/>
    <cellStyle name="常规 8 11 2 4" xfId="25159"/>
    <cellStyle name="常规 8 11 2 5" xfId="25160"/>
    <cellStyle name="常规 8 11 2 6" xfId="25161"/>
    <cellStyle name="常规 8 11 2 7" xfId="25162"/>
    <cellStyle name="常规 8 11 3" xfId="25163"/>
    <cellStyle name="常规 8 11 3 2" xfId="25164"/>
    <cellStyle name="常规 8 11 3 2 2" xfId="25165"/>
    <cellStyle name="常规 8 11 3 2 3" xfId="25166"/>
    <cellStyle name="常规 8 11 3 2 4" xfId="25167"/>
    <cellStyle name="常规 8 11 3 2 5" xfId="25168"/>
    <cellStyle name="常规 8 11 3 2 6" xfId="25169"/>
    <cellStyle name="常规 8 11 3 3" xfId="25170"/>
    <cellStyle name="常规 8 11 3 4" xfId="25171"/>
    <cellStyle name="常规 8 11 3 5" xfId="25172"/>
    <cellStyle name="常规 8 11 3 6" xfId="25173"/>
    <cellStyle name="常规 8 11 3 7" xfId="25174"/>
    <cellStyle name="常规 8 11 4" xfId="25175"/>
    <cellStyle name="常规 8 11 4 2" xfId="25176"/>
    <cellStyle name="常规 8 11 4 2 2" xfId="25177"/>
    <cellStyle name="常规 8 11 4 2 3" xfId="25178"/>
    <cellStyle name="常规 8 11 4 2 4" xfId="25179"/>
    <cellStyle name="常规 8 11 4 2 5" xfId="25180"/>
    <cellStyle name="常规 8 11 4 2 6" xfId="25181"/>
    <cellStyle name="常规 8 11 4 3" xfId="25182"/>
    <cellStyle name="常规 8 11 4 4" xfId="25183"/>
    <cellStyle name="常规 8 11 4 5" xfId="25184"/>
    <cellStyle name="常规 8 11 4 6" xfId="25185"/>
    <cellStyle name="常规 8 11 4 7" xfId="25186"/>
    <cellStyle name="常规 8 11 5" xfId="25187"/>
    <cellStyle name="常规 8 11 5 2" xfId="25188"/>
    <cellStyle name="常规 8 11 5 2 2" xfId="25189"/>
    <cellStyle name="常规 8 11 5 2 3" xfId="25190"/>
    <cellStyle name="常规 8 11 5 2 4" xfId="25191"/>
    <cellStyle name="常规 8 11 5 2 5" xfId="25192"/>
    <cellStyle name="常规 8 11 5 2 6" xfId="25193"/>
    <cellStyle name="常规 8 11 5 3" xfId="25194"/>
    <cellStyle name="常规 8 11 5 4" xfId="25195"/>
    <cellStyle name="常规 8 11 5 5" xfId="25196"/>
    <cellStyle name="常规 8 11 5 6" xfId="25197"/>
    <cellStyle name="常规 8 11 5 7" xfId="25198"/>
    <cellStyle name="常规 8 11 6" xfId="25199"/>
    <cellStyle name="常规 8 11 6 2" xfId="25200"/>
    <cellStyle name="常规 8 11 6 3" xfId="25201"/>
    <cellStyle name="常规 8 11 6 4" xfId="25202"/>
    <cellStyle name="常规 8 11 6 5" xfId="25203"/>
    <cellStyle name="常规 8 11 6 6" xfId="25204"/>
    <cellStyle name="常规 8 11 7" xfId="25205"/>
    <cellStyle name="常规 8 11 8" xfId="25206"/>
    <cellStyle name="常规 8 11 9" xfId="25207"/>
    <cellStyle name="常规 8 12" xfId="25208"/>
    <cellStyle name="常规 8 12 10" xfId="25209"/>
    <cellStyle name="常规 8 12 11" xfId="25210"/>
    <cellStyle name="常规 8 12 2" xfId="25211"/>
    <cellStyle name="常规 8 12 2 2" xfId="25212"/>
    <cellStyle name="常规 8 12 2 2 2" xfId="25213"/>
    <cellStyle name="常规 8 12 2 2 3" xfId="25214"/>
    <cellStyle name="常规 8 12 2 2 4" xfId="25215"/>
    <cellStyle name="常规 8 12 2 2 5" xfId="25216"/>
    <cellStyle name="常规 8 12 2 2 6" xfId="25217"/>
    <cellStyle name="常规 8 12 2 3" xfId="25218"/>
    <cellStyle name="常规 8 12 2 4" xfId="25219"/>
    <cellStyle name="常规 8 12 2 5" xfId="25220"/>
    <cellStyle name="常规 8 12 2 6" xfId="25221"/>
    <cellStyle name="常规 8 12 2 7" xfId="25222"/>
    <cellStyle name="常规 8 12 3" xfId="25223"/>
    <cellStyle name="常规 8 12 3 2" xfId="25224"/>
    <cellStyle name="常规 8 12 3 2 2" xfId="25225"/>
    <cellStyle name="常规 8 12 3 2 3" xfId="25226"/>
    <cellStyle name="常规 8 12 3 2 4" xfId="25227"/>
    <cellStyle name="常规 8 12 3 2 5" xfId="25228"/>
    <cellStyle name="常规 8 12 3 2 6" xfId="25229"/>
    <cellStyle name="常规 8 12 3 3" xfId="25230"/>
    <cellStyle name="常规 8 12 3 4" xfId="25231"/>
    <cellStyle name="常规 8 12 3 5" xfId="25232"/>
    <cellStyle name="常规 8 12 3 6" xfId="25233"/>
    <cellStyle name="常规 8 12 3 7" xfId="25234"/>
    <cellStyle name="常规 8 12 4" xfId="25235"/>
    <cellStyle name="常规 8 12 4 2" xfId="25236"/>
    <cellStyle name="常规 8 12 4 2 2" xfId="25237"/>
    <cellStyle name="常规 8 12 4 2 3" xfId="25238"/>
    <cellStyle name="常规 8 12 4 2 4" xfId="25239"/>
    <cellStyle name="常规 8 12 4 2 5" xfId="25240"/>
    <cellStyle name="常规 8 12 4 2 6" xfId="25241"/>
    <cellStyle name="常规 8 12 4 3" xfId="25242"/>
    <cellStyle name="常规 8 12 4 4" xfId="25243"/>
    <cellStyle name="常规 8 12 4 5" xfId="25244"/>
    <cellStyle name="常规 8 12 4 6" xfId="25245"/>
    <cellStyle name="常规 8 12 4 7" xfId="25246"/>
    <cellStyle name="常规 8 12 5" xfId="25247"/>
    <cellStyle name="常规 8 12 5 2" xfId="25248"/>
    <cellStyle name="常规 8 12 5 3" xfId="25249"/>
    <cellStyle name="常规 8 12 5 4" xfId="25250"/>
    <cellStyle name="常规 8 12 5 5" xfId="25251"/>
    <cellStyle name="常规 8 12 5 6" xfId="25252"/>
    <cellStyle name="常规 8 12 6" xfId="25253"/>
    <cellStyle name="常规 8 12 7" xfId="25254"/>
    <cellStyle name="常规 8 12 8" xfId="25255"/>
    <cellStyle name="常规 8 12 9" xfId="25256"/>
    <cellStyle name="常规 8 13" xfId="25257"/>
    <cellStyle name="常规 8 13 2" xfId="25258"/>
    <cellStyle name="常规 8 13 2 2" xfId="25259"/>
    <cellStyle name="常规 8 13 2 2 2" xfId="25260"/>
    <cellStyle name="常规 8 13 2 2 3" xfId="25261"/>
    <cellStyle name="常规 8 13 2 2 4" xfId="25262"/>
    <cellStyle name="常规 8 13 2 2 5" xfId="25263"/>
    <cellStyle name="常规 8 13 2 2 6" xfId="25264"/>
    <cellStyle name="常规 8 13 2 3" xfId="25265"/>
    <cellStyle name="常规 8 13 2 4" xfId="25266"/>
    <cellStyle name="常规 8 13 2 5" xfId="25267"/>
    <cellStyle name="常规 8 13 2 6" xfId="25268"/>
    <cellStyle name="常规 8 13 2 7" xfId="25269"/>
    <cellStyle name="常规 8 13 3" xfId="25270"/>
    <cellStyle name="常规 8 13 3 2" xfId="25271"/>
    <cellStyle name="常规 8 13 3 2 2" xfId="25272"/>
    <cellStyle name="常规 8 13 3 2 3" xfId="25273"/>
    <cellStyle name="常规 8 13 3 2 4" xfId="25274"/>
    <cellStyle name="常规 8 13 3 2 5" xfId="25275"/>
    <cellStyle name="常规 8 13 3 2 6" xfId="25276"/>
    <cellStyle name="常规 8 13 3 3" xfId="25277"/>
    <cellStyle name="常规 8 13 3 4" xfId="25278"/>
    <cellStyle name="常规 8 13 3 5" xfId="25279"/>
    <cellStyle name="常规 8 13 3 6" xfId="25280"/>
    <cellStyle name="常规 8 13 3 7" xfId="25281"/>
    <cellStyle name="常规 8 13 4" xfId="25282"/>
    <cellStyle name="常规 8 13 4 2" xfId="25283"/>
    <cellStyle name="常规 8 13 4 3" xfId="25284"/>
    <cellStyle name="常规 8 13 4 4" xfId="25285"/>
    <cellStyle name="常规 8 13 4 5" xfId="25286"/>
    <cellStyle name="常规 8 13 4 6" xfId="25287"/>
    <cellStyle name="常规 8 13 5" xfId="25288"/>
    <cellStyle name="常规 8 13 6" xfId="25289"/>
    <cellStyle name="常规 8 13 7" xfId="25290"/>
    <cellStyle name="常规 8 13 8" xfId="25291"/>
    <cellStyle name="常规 8 13 9" xfId="25292"/>
    <cellStyle name="常规 8 14" xfId="25293"/>
    <cellStyle name="常规 8 14 2" xfId="25294"/>
    <cellStyle name="常规 8 14 2 2" xfId="25295"/>
    <cellStyle name="常规 8 14 2 2 2" xfId="25296"/>
    <cellStyle name="常规 8 14 2 2 3" xfId="25297"/>
    <cellStyle name="常规 8 14 2 2 4" xfId="25298"/>
    <cellStyle name="常规 8 14 2 2 5" xfId="25299"/>
    <cellStyle name="常规 8 14 2 2 6" xfId="25300"/>
    <cellStyle name="常规 8 14 2 3" xfId="25301"/>
    <cellStyle name="常规 8 14 2 4" xfId="25302"/>
    <cellStyle name="常规 8 14 2 5" xfId="25303"/>
    <cellStyle name="常规 8 14 2 6" xfId="25304"/>
    <cellStyle name="常规 8 14 2 7" xfId="25305"/>
    <cellStyle name="常规 8 14 3" xfId="25306"/>
    <cellStyle name="常规 8 14 3 2" xfId="25307"/>
    <cellStyle name="常规 8 14 3 3" xfId="25308"/>
    <cellStyle name="常规 8 14 3 4" xfId="25309"/>
    <cellStyle name="常规 8 14 3 5" xfId="25310"/>
    <cellStyle name="常规 8 14 3 6" xfId="25311"/>
    <cellStyle name="常规 8 14 4" xfId="25312"/>
    <cellStyle name="常规 8 14 5" xfId="25313"/>
    <cellStyle name="常规 8 14 6" xfId="25314"/>
    <cellStyle name="常规 8 14 7" xfId="25315"/>
    <cellStyle name="常规 8 14 8" xfId="25316"/>
    <cellStyle name="常规 8 15" xfId="25317"/>
    <cellStyle name="常规 8 15 2" xfId="25318"/>
    <cellStyle name="常规 8 15 2 2" xfId="25319"/>
    <cellStyle name="常规 8 15 2 2 2" xfId="25320"/>
    <cellStyle name="常规 8 15 2 2 3" xfId="25321"/>
    <cellStyle name="常规 8 15 2 2 4" xfId="25322"/>
    <cellStyle name="常规 8 15 2 2 5" xfId="25323"/>
    <cellStyle name="常规 8 15 2 2 6" xfId="25324"/>
    <cellStyle name="常规 8 15 2 3" xfId="25325"/>
    <cellStyle name="常规 8 15 2 4" xfId="25326"/>
    <cellStyle name="常规 8 15 2 5" xfId="25327"/>
    <cellStyle name="常规 8 15 2 6" xfId="25328"/>
    <cellStyle name="常规 8 15 2 7" xfId="25329"/>
    <cellStyle name="常规 8 15 3" xfId="25330"/>
    <cellStyle name="常规 8 15 3 2" xfId="25331"/>
    <cellStyle name="常规 8 15 3 3" xfId="25332"/>
    <cellStyle name="常规 8 15 3 4" xfId="25333"/>
    <cellStyle name="常规 8 15 3 5" xfId="25334"/>
    <cellStyle name="常规 8 15 3 6" xfId="25335"/>
    <cellStyle name="常规 8 15 4" xfId="25336"/>
    <cellStyle name="常规 8 15 5" xfId="25337"/>
    <cellStyle name="常规 8 15 6" xfId="25338"/>
    <cellStyle name="常规 8 15 7" xfId="25339"/>
    <cellStyle name="常规 8 15 8" xfId="25340"/>
    <cellStyle name="常规 8 16" xfId="25341"/>
    <cellStyle name="常规 8 16 2" xfId="25342"/>
    <cellStyle name="常规 8 16 2 2" xfId="25343"/>
    <cellStyle name="常规 8 16 2 2 2" xfId="25344"/>
    <cellStyle name="常规 8 16 2 2 3" xfId="25345"/>
    <cellStyle name="常规 8 16 2 2 4" xfId="25346"/>
    <cellStyle name="常规 8 16 2 2 5" xfId="25347"/>
    <cellStyle name="常规 8 16 2 2 6" xfId="25348"/>
    <cellStyle name="常规 8 16 2 3" xfId="25349"/>
    <cellStyle name="常规 8 16 2 4" xfId="25350"/>
    <cellStyle name="常规 8 16 2 5" xfId="25351"/>
    <cellStyle name="常规 8 16 2 6" xfId="25352"/>
    <cellStyle name="常规 8 16 2 7" xfId="25353"/>
    <cellStyle name="常规 8 16 3" xfId="25354"/>
    <cellStyle name="常规 8 16 3 2" xfId="25355"/>
    <cellStyle name="常规 8 16 3 3" xfId="25356"/>
    <cellStyle name="常规 8 16 3 4" xfId="25357"/>
    <cellStyle name="常规 8 16 3 5" xfId="25358"/>
    <cellStyle name="常规 8 16 3 6" xfId="25359"/>
    <cellStyle name="常规 8 16 4" xfId="25360"/>
    <cellStyle name="常规 8 16 5" xfId="25361"/>
    <cellStyle name="常规 8 16 6" xfId="25362"/>
    <cellStyle name="常规 8 16 7" xfId="25363"/>
    <cellStyle name="常规 8 16 8" xfId="25364"/>
    <cellStyle name="常规 8 17" xfId="25365"/>
    <cellStyle name="常规 8 17 2" xfId="25366"/>
    <cellStyle name="常规 8 17 2 2" xfId="25367"/>
    <cellStyle name="常规 8 17 2 2 2" xfId="25368"/>
    <cellStyle name="常规 8 17 2 2 3" xfId="25369"/>
    <cellStyle name="常规 8 17 2 2 4" xfId="25370"/>
    <cellStyle name="常规 8 17 2 2 5" xfId="25371"/>
    <cellStyle name="常规 8 17 2 2 6" xfId="25372"/>
    <cellStyle name="常规 8 17 2 3" xfId="25373"/>
    <cellStyle name="常规 8 17 2 4" xfId="25374"/>
    <cellStyle name="常规 8 17 2 5" xfId="25375"/>
    <cellStyle name="常规 8 17 2 6" xfId="25376"/>
    <cellStyle name="常规 8 17 2 7" xfId="25377"/>
    <cellStyle name="常规 8 17 3" xfId="25378"/>
    <cellStyle name="常规 8 17 3 2" xfId="25379"/>
    <cellStyle name="常规 8 17 3 3" xfId="25380"/>
    <cellStyle name="常规 8 17 3 4" xfId="25381"/>
    <cellStyle name="常规 8 17 3 5" xfId="25382"/>
    <cellStyle name="常规 8 17 3 6" xfId="25383"/>
    <cellStyle name="常规 8 17 4" xfId="25384"/>
    <cellStyle name="常规 8 17 5" xfId="25385"/>
    <cellStyle name="常规 8 17 6" xfId="25386"/>
    <cellStyle name="常规 8 17 7" xfId="25387"/>
    <cellStyle name="常规 8 17 8" xfId="25388"/>
    <cellStyle name="常规 8 18" xfId="25389"/>
    <cellStyle name="常规 8 18 2" xfId="25390"/>
    <cellStyle name="常规 8 18 2 2" xfId="25391"/>
    <cellStyle name="常规 8 18 2 3" xfId="25392"/>
    <cellStyle name="常规 8 18 2 4" xfId="25393"/>
    <cellStyle name="常规 8 18 2 5" xfId="25394"/>
    <cellStyle name="常规 8 18 2 6" xfId="25395"/>
    <cellStyle name="常规 8 18 3" xfId="25396"/>
    <cellStyle name="常规 8 18 4" xfId="25397"/>
    <cellStyle name="常规 8 18 5" xfId="25398"/>
    <cellStyle name="常规 8 18 6" xfId="25399"/>
    <cellStyle name="常规 8 18 7" xfId="25400"/>
    <cellStyle name="常规 8 19" xfId="25401"/>
    <cellStyle name="常规 8 19 2" xfId="25402"/>
    <cellStyle name="常规 8 19 2 2" xfId="25403"/>
    <cellStyle name="常规 8 19 2 3" xfId="25404"/>
    <cellStyle name="常规 8 19 2 4" xfId="25405"/>
    <cellStyle name="常规 8 19 2 5" xfId="25406"/>
    <cellStyle name="常规 8 19 2 6" xfId="25407"/>
    <cellStyle name="常规 8 19 3" xfId="25408"/>
    <cellStyle name="常规 8 19 4" xfId="25409"/>
    <cellStyle name="常规 8 19 5" xfId="25410"/>
    <cellStyle name="常规 8 19 6" xfId="25411"/>
    <cellStyle name="常规 8 19 7" xfId="25412"/>
    <cellStyle name="常规 8 2" xfId="25413"/>
    <cellStyle name="常规 8 2 10" xfId="25414"/>
    <cellStyle name="常规 8 2 10 10" xfId="25415"/>
    <cellStyle name="常规 8 2 10 2" xfId="25416"/>
    <cellStyle name="常规 8 2 10 2 2" xfId="25417"/>
    <cellStyle name="常规 8 2 10 2 2 2" xfId="25418"/>
    <cellStyle name="常规 8 2 10 2 2 3" xfId="25419"/>
    <cellStyle name="常规 8 2 10 2 2 4" xfId="25420"/>
    <cellStyle name="常规 8 2 10 2 2 5" xfId="25421"/>
    <cellStyle name="常规 8 2 10 2 2 6" xfId="25422"/>
    <cellStyle name="常规 8 2 10 2 3" xfId="25423"/>
    <cellStyle name="常规 8 2 10 2 4" xfId="25424"/>
    <cellStyle name="常规 8 2 10 2 5" xfId="25425"/>
    <cellStyle name="常规 8 2 10 2 6" xfId="25426"/>
    <cellStyle name="常规 8 2 10 2 7" xfId="25427"/>
    <cellStyle name="常规 8 2 10 3" xfId="25428"/>
    <cellStyle name="常规 8 2 10 3 2" xfId="25429"/>
    <cellStyle name="常规 8 2 10 3 2 2" xfId="25430"/>
    <cellStyle name="常规 8 2 10 3 2 3" xfId="25431"/>
    <cellStyle name="常规 8 2 10 3 2 4" xfId="25432"/>
    <cellStyle name="常规 8 2 10 3 2 5" xfId="25433"/>
    <cellStyle name="常规 8 2 10 3 2 6" xfId="25434"/>
    <cellStyle name="常规 8 2 10 3 3" xfId="25435"/>
    <cellStyle name="常规 8 2 10 3 4" xfId="25436"/>
    <cellStyle name="常规 8 2 10 3 5" xfId="25437"/>
    <cellStyle name="常规 8 2 10 3 6" xfId="25438"/>
    <cellStyle name="常规 8 2 10 3 7" xfId="25439"/>
    <cellStyle name="常规 8 2 10 4" xfId="25440"/>
    <cellStyle name="常规 8 2 10 4 2" xfId="25441"/>
    <cellStyle name="常规 8 2 10 4 2 2" xfId="25442"/>
    <cellStyle name="常规 8 2 10 4 2 3" xfId="25443"/>
    <cellStyle name="常规 8 2 10 4 2 4" xfId="25444"/>
    <cellStyle name="常规 8 2 10 4 2 5" xfId="25445"/>
    <cellStyle name="常规 8 2 10 4 2 6" xfId="25446"/>
    <cellStyle name="常规 8 2 10 4 3" xfId="25447"/>
    <cellStyle name="常规 8 2 10 4 4" xfId="25448"/>
    <cellStyle name="常规 8 2 10 4 5" xfId="25449"/>
    <cellStyle name="常规 8 2 10 4 6" xfId="25450"/>
    <cellStyle name="常规 8 2 10 4 7" xfId="25451"/>
    <cellStyle name="常规 8 2 10 5" xfId="25452"/>
    <cellStyle name="常规 8 2 10 5 2" xfId="25453"/>
    <cellStyle name="常规 8 2 10 5 3" xfId="25454"/>
    <cellStyle name="常规 8 2 10 5 4" xfId="25455"/>
    <cellStyle name="常规 8 2 10 5 5" xfId="25456"/>
    <cellStyle name="常规 8 2 10 5 6" xfId="25457"/>
    <cellStyle name="常规 8 2 10 6" xfId="25458"/>
    <cellStyle name="常规 8 2 10 7" xfId="25459"/>
    <cellStyle name="常规 8 2 10 8" xfId="25460"/>
    <cellStyle name="常规 8 2 10 9" xfId="25461"/>
    <cellStyle name="常规 8 2 11" xfId="25462"/>
    <cellStyle name="常规 8 2 11 2" xfId="25463"/>
    <cellStyle name="常规 8 2 11 2 2" xfId="25464"/>
    <cellStyle name="常规 8 2 11 2 2 2" xfId="25465"/>
    <cellStyle name="常规 8 2 11 2 2 3" xfId="25466"/>
    <cellStyle name="常规 8 2 11 2 2 4" xfId="25467"/>
    <cellStyle name="常规 8 2 11 2 2 5" xfId="25468"/>
    <cellStyle name="常规 8 2 11 2 2 6" xfId="25469"/>
    <cellStyle name="常规 8 2 11 2 3" xfId="25470"/>
    <cellStyle name="常规 8 2 11 2 4" xfId="25471"/>
    <cellStyle name="常规 8 2 11 2 5" xfId="25472"/>
    <cellStyle name="常规 8 2 11 2 6" xfId="25473"/>
    <cellStyle name="常规 8 2 11 2 7" xfId="25474"/>
    <cellStyle name="常规 8 2 11 3" xfId="25475"/>
    <cellStyle name="常规 8 2 11 3 2" xfId="25476"/>
    <cellStyle name="常规 8 2 11 3 2 2" xfId="25477"/>
    <cellStyle name="常规 8 2 11 3 2 3" xfId="25478"/>
    <cellStyle name="常规 8 2 11 3 2 4" xfId="25479"/>
    <cellStyle name="常规 8 2 11 3 2 5" xfId="25480"/>
    <cellStyle name="常规 8 2 11 3 2 6" xfId="25481"/>
    <cellStyle name="常规 8 2 11 3 3" xfId="25482"/>
    <cellStyle name="常规 8 2 11 3 4" xfId="25483"/>
    <cellStyle name="常规 8 2 11 3 5" xfId="25484"/>
    <cellStyle name="常规 8 2 11 3 6" xfId="25485"/>
    <cellStyle name="常规 8 2 11 3 7" xfId="25486"/>
    <cellStyle name="常规 8 2 11 4" xfId="25487"/>
    <cellStyle name="常规 8 2 11 4 2" xfId="25488"/>
    <cellStyle name="常规 8 2 11 4 3" xfId="25489"/>
    <cellStyle name="常规 8 2 11 4 4" xfId="25490"/>
    <cellStyle name="常规 8 2 11 4 5" xfId="25491"/>
    <cellStyle name="常规 8 2 11 4 6" xfId="25492"/>
    <cellStyle name="常规 8 2 11 5" xfId="25493"/>
    <cellStyle name="常规 8 2 11 6" xfId="25494"/>
    <cellStyle name="常规 8 2 11 7" xfId="25495"/>
    <cellStyle name="常规 8 2 11 8" xfId="25496"/>
    <cellStyle name="常规 8 2 11 9" xfId="25497"/>
    <cellStyle name="常规 8 2 12" xfId="25498"/>
    <cellStyle name="常规 8 2 12 2" xfId="25499"/>
    <cellStyle name="常规 8 2 12 2 2" xfId="25500"/>
    <cellStyle name="常规 8 2 12 2 2 2" xfId="25501"/>
    <cellStyle name="常规 8 2 12 2 2 3" xfId="25502"/>
    <cellStyle name="常规 8 2 12 2 2 4" xfId="25503"/>
    <cellStyle name="常规 8 2 12 2 2 5" xfId="25504"/>
    <cellStyle name="常规 8 2 12 2 2 6" xfId="25505"/>
    <cellStyle name="常规 8 2 12 2 3" xfId="25506"/>
    <cellStyle name="常规 8 2 12 2 4" xfId="25507"/>
    <cellStyle name="常规 8 2 12 2 5" xfId="25508"/>
    <cellStyle name="常规 8 2 12 2 6" xfId="25509"/>
    <cellStyle name="常规 8 2 12 2 7" xfId="25510"/>
    <cellStyle name="常规 8 2 12 3" xfId="25511"/>
    <cellStyle name="常规 8 2 12 3 2" xfId="25512"/>
    <cellStyle name="常规 8 2 12 3 3" xfId="25513"/>
    <cellStyle name="常规 8 2 12 3 4" xfId="25514"/>
    <cellStyle name="常规 8 2 12 3 5" xfId="25515"/>
    <cellStyle name="常规 8 2 12 3 6" xfId="25516"/>
    <cellStyle name="常规 8 2 12 4" xfId="25517"/>
    <cellStyle name="常规 8 2 12 5" xfId="25518"/>
    <cellStyle name="常规 8 2 12 6" xfId="25519"/>
    <cellStyle name="常规 8 2 12 7" xfId="25520"/>
    <cellStyle name="常规 8 2 12 8" xfId="25521"/>
    <cellStyle name="常规 8 2 13" xfId="25522"/>
    <cellStyle name="常规 8 2 13 2" xfId="25523"/>
    <cellStyle name="常规 8 2 13 2 2" xfId="25524"/>
    <cellStyle name="常规 8 2 13 2 2 2" xfId="25525"/>
    <cellStyle name="常规 8 2 13 2 2 3" xfId="25526"/>
    <cellStyle name="常规 8 2 13 2 2 4" xfId="25527"/>
    <cellStyle name="常规 8 2 13 2 2 5" xfId="25528"/>
    <cellStyle name="常规 8 2 13 2 2 6" xfId="25529"/>
    <cellStyle name="常规 8 2 13 2 3" xfId="25530"/>
    <cellStyle name="常规 8 2 13 2 4" xfId="25531"/>
    <cellStyle name="常规 8 2 13 2 5" xfId="25532"/>
    <cellStyle name="常规 8 2 13 2 6" xfId="25533"/>
    <cellStyle name="常规 8 2 13 2 7" xfId="25534"/>
    <cellStyle name="常规 8 2 13 3" xfId="25535"/>
    <cellStyle name="常规 8 2 13 3 2" xfId="25536"/>
    <cellStyle name="常规 8 2 13 3 3" xfId="25537"/>
    <cellStyle name="常规 8 2 13 3 4" xfId="25538"/>
    <cellStyle name="常规 8 2 13 3 5" xfId="25539"/>
    <cellStyle name="常规 8 2 13 3 6" xfId="25540"/>
    <cellStyle name="常规 8 2 13 4" xfId="25541"/>
    <cellStyle name="常规 8 2 13 5" xfId="25542"/>
    <cellStyle name="常规 8 2 13 6" xfId="25543"/>
    <cellStyle name="常规 8 2 13 7" xfId="25544"/>
    <cellStyle name="常规 8 2 13 8" xfId="25545"/>
    <cellStyle name="常规 8 2 14" xfId="25546"/>
    <cellStyle name="常规 8 2 14 2" xfId="25547"/>
    <cellStyle name="常规 8 2 14 2 2" xfId="25548"/>
    <cellStyle name="常规 8 2 14 2 2 2" xfId="25549"/>
    <cellStyle name="常规 8 2 14 2 2 3" xfId="25550"/>
    <cellStyle name="常规 8 2 14 2 2 4" xfId="25551"/>
    <cellStyle name="常规 8 2 14 2 2 5" xfId="25552"/>
    <cellStyle name="常规 8 2 14 2 2 6" xfId="25553"/>
    <cellStyle name="常规 8 2 14 2 3" xfId="25554"/>
    <cellStyle name="常规 8 2 14 2 4" xfId="25555"/>
    <cellStyle name="常规 8 2 14 2 5" xfId="25556"/>
    <cellStyle name="常规 8 2 14 2 6" xfId="25557"/>
    <cellStyle name="常规 8 2 14 2 7" xfId="25558"/>
    <cellStyle name="常规 8 2 14 3" xfId="25559"/>
    <cellStyle name="常规 8 2 14 3 2" xfId="25560"/>
    <cellStyle name="常规 8 2 14 3 3" xfId="25561"/>
    <cellStyle name="常规 8 2 14 3 4" xfId="25562"/>
    <cellStyle name="常规 8 2 14 3 5" xfId="25563"/>
    <cellStyle name="常规 8 2 14 3 6" xfId="25564"/>
    <cellStyle name="常规 8 2 14 4" xfId="25565"/>
    <cellStyle name="常规 8 2 14 5" xfId="25566"/>
    <cellStyle name="常规 8 2 14 6" xfId="25567"/>
    <cellStyle name="常规 8 2 14 7" xfId="25568"/>
    <cellStyle name="常规 8 2 14 8" xfId="25569"/>
    <cellStyle name="常规 8 2 15" xfId="25570"/>
    <cellStyle name="常规 8 2 15 2" xfId="25571"/>
    <cellStyle name="常规 8 2 15 2 2" xfId="25572"/>
    <cellStyle name="常规 8 2 15 2 2 2" xfId="25573"/>
    <cellStyle name="常规 8 2 15 2 2 3" xfId="25574"/>
    <cellStyle name="常规 8 2 15 2 2 4" xfId="25575"/>
    <cellStyle name="常规 8 2 15 2 2 5" xfId="25576"/>
    <cellStyle name="常规 8 2 15 2 2 6" xfId="25577"/>
    <cellStyle name="常规 8 2 15 2 3" xfId="25578"/>
    <cellStyle name="常规 8 2 15 2 4" xfId="25579"/>
    <cellStyle name="常规 8 2 15 2 5" xfId="25580"/>
    <cellStyle name="常规 8 2 15 2 6" xfId="25581"/>
    <cellStyle name="常规 8 2 15 2 7" xfId="25582"/>
    <cellStyle name="常规 8 2 15 3" xfId="25583"/>
    <cellStyle name="常规 8 2 15 3 2" xfId="25584"/>
    <cellStyle name="常规 8 2 15 3 3" xfId="25585"/>
    <cellStyle name="常规 8 2 15 3 4" xfId="25586"/>
    <cellStyle name="常规 8 2 15 3 5" xfId="25587"/>
    <cellStyle name="常规 8 2 15 3 6" xfId="25588"/>
    <cellStyle name="常规 8 2 15 4" xfId="25589"/>
    <cellStyle name="常规 8 2 15 5" xfId="25590"/>
    <cellStyle name="常规 8 2 15 6" xfId="25591"/>
    <cellStyle name="常规 8 2 15 7" xfId="25592"/>
    <cellStyle name="常规 8 2 15 8" xfId="25593"/>
    <cellStyle name="常规 8 2 16" xfId="25594"/>
    <cellStyle name="常规 8 2 16 2" xfId="25595"/>
    <cellStyle name="常规 8 2 16 2 2" xfId="25596"/>
    <cellStyle name="常规 8 2 16 2 3" xfId="25597"/>
    <cellStyle name="常规 8 2 16 2 4" xfId="25598"/>
    <cellStyle name="常规 8 2 16 2 5" xfId="25599"/>
    <cellStyle name="常规 8 2 16 2 6" xfId="25600"/>
    <cellStyle name="常规 8 2 16 3" xfId="25601"/>
    <cellStyle name="常规 8 2 16 4" xfId="25602"/>
    <cellStyle name="常规 8 2 16 5" xfId="25603"/>
    <cellStyle name="常规 8 2 16 6" xfId="25604"/>
    <cellStyle name="常规 8 2 16 7" xfId="25605"/>
    <cellStyle name="常规 8 2 17" xfId="25606"/>
    <cellStyle name="常规 8 2 17 2" xfId="25607"/>
    <cellStyle name="常规 8 2 17 2 2" xfId="25608"/>
    <cellStyle name="常规 8 2 17 2 3" xfId="25609"/>
    <cellStyle name="常规 8 2 17 2 4" xfId="25610"/>
    <cellStyle name="常规 8 2 17 2 5" xfId="25611"/>
    <cellStyle name="常规 8 2 17 2 6" xfId="25612"/>
    <cellStyle name="常规 8 2 17 3" xfId="25613"/>
    <cellStyle name="常规 8 2 17 4" xfId="25614"/>
    <cellStyle name="常规 8 2 17 5" xfId="25615"/>
    <cellStyle name="常规 8 2 17 6" xfId="25616"/>
    <cellStyle name="常规 8 2 17 7" xfId="25617"/>
    <cellStyle name="常规 8 2 18" xfId="25618"/>
    <cellStyle name="常规 8 2 18 2" xfId="25619"/>
    <cellStyle name="常规 8 2 18 2 2" xfId="25620"/>
    <cellStyle name="常规 8 2 18 2 3" xfId="25621"/>
    <cellStyle name="常规 8 2 18 2 4" xfId="25622"/>
    <cellStyle name="常规 8 2 18 2 5" xfId="25623"/>
    <cellStyle name="常规 8 2 18 2 6" xfId="25624"/>
    <cellStyle name="常规 8 2 18 3" xfId="25625"/>
    <cellStyle name="常规 8 2 18 4" xfId="25626"/>
    <cellStyle name="常规 8 2 18 5" xfId="25627"/>
    <cellStyle name="常规 8 2 18 6" xfId="25628"/>
    <cellStyle name="常规 8 2 18 7" xfId="25629"/>
    <cellStyle name="常规 8 2 19" xfId="25630"/>
    <cellStyle name="常规 8 2 19 2" xfId="25631"/>
    <cellStyle name="常规 8 2 19 3" xfId="25632"/>
    <cellStyle name="常规 8 2 19 4" xfId="25633"/>
    <cellStyle name="常规 8 2 19 5" xfId="25634"/>
    <cellStyle name="常规 8 2 19 6" xfId="25635"/>
    <cellStyle name="常规 8 2 2" xfId="25636"/>
    <cellStyle name="常规 8 2 2 10" xfId="25637"/>
    <cellStyle name="常规 8 2 2 10 2" xfId="25638"/>
    <cellStyle name="常规 8 2 2 10 2 2" xfId="25639"/>
    <cellStyle name="常规 8 2 2 10 2 2 2" xfId="25640"/>
    <cellStyle name="常规 8 2 2 10 2 2 3" xfId="25641"/>
    <cellStyle name="常规 8 2 2 10 2 2 4" xfId="25642"/>
    <cellStyle name="常规 8 2 2 10 2 2 5" xfId="25643"/>
    <cellStyle name="常规 8 2 2 10 2 2 6" xfId="25644"/>
    <cellStyle name="常规 8 2 2 10 2 3" xfId="25645"/>
    <cellStyle name="常规 8 2 2 10 2 4" xfId="25646"/>
    <cellStyle name="常规 8 2 2 10 2 5" xfId="25647"/>
    <cellStyle name="常规 8 2 2 10 2 6" xfId="25648"/>
    <cellStyle name="常规 8 2 2 10 2 7" xfId="25649"/>
    <cellStyle name="常规 8 2 2 10 3" xfId="25650"/>
    <cellStyle name="常规 8 2 2 10 3 2" xfId="25651"/>
    <cellStyle name="常规 8 2 2 10 3 2 2" xfId="25652"/>
    <cellStyle name="常规 8 2 2 10 3 2 3" xfId="25653"/>
    <cellStyle name="常规 8 2 2 10 3 2 4" xfId="25654"/>
    <cellStyle name="常规 8 2 2 10 3 2 5" xfId="25655"/>
    <cellStyle name="常规 8 2 2 10 3 2 6" xfId="25656"/>
    <cellStyle name="常规 8 2 2 10 3 3" xfId="25657"/>
    <cellStyle name="常规 8 2 2 10 3 4" xfId="25658"/>
    <cellStyle name="常规 8 2 2 10 3 5" xfId="25659"/>
    <cellStyle name="常规 8 2 2 10 3 6" xfId="25660"/>
    <cellStyle name="常规 8 2 2 10 3 7" xfId="25661"/>
    <cellStyle name="常规 8 2 2 10 4" xfId="25662"/>
    <cellStyle name="常规 8 2 2 10 4 2" xfId="25663"/>
    <cellStyle name="常规 8 2 2 10 4 3" xfId="25664"/>
    <cellStyle name="常规 8 2 2 10 4 4" xfId="25665"/>
    <cellStyle name="常规 8 2 2 10 4 5" xfId="25666"/>
    <cellStyle name="常规 8 2 2 10 4 6" xfId="25667"/>
    <cellStyle name="常规 8 2 2 10 5" xfId="25668"/>
    <cellStyle name="常规 8 2 2 10 6" xfId="25669"/>
    <cellStyle name="常规 8 2 2 10 7" xfId="25670"/>
    <cellStyle name="常规 8 2 2 10 8" xfId="25671"/>
    <cellStyle name="常规 8 2 2 10 9" xfId="25672"/>
    <cellStyle name="常规 8 2 2 11" xfId="25673"/>
    <cellStyle name="常规 8 2 2 11 2" xfId="25674"/>
    <cellStyle name="常规 8 2 2 11 2 2" xfId="25675"/>
    <cellStyle name="常规 8 2 2 11 2 2 2" xfId="25676"/>
    <cellStyle name="常规 8 2 2 11 2 2 3" xfId="25677"/>
    <cellStyle name="常规 8 2 2 11 2 2 4" xfId="25678"/>
    <cellStyle name="常规 8 2 2 11 2 2 5" xfId="25679"/>
    <cellStyle name="常规 8 2 2 11 2 2 6" xfId="25680"/>
    <cellStyle name="常规 8 2 2 11 2 3" xfId="25681"/>
    <cellStyle name="常规 8 2 2 11 2 4" xfId="25682"/>
    <cellStyle name="常规 8 2 2 11 2 5" xfId="25683"/>
    <cellStyle name="常规 8 2 2 11 2 6" xfId="25684"/>
    <cellStyle name="常规 8 2 2 11 2 7" xfId="25685"/>
    <cellStyle name="常规 8 2 2 11 3" xfId="25686"/>
    <cellStyle name="常规 8 2 2 11 3 2" xfId="25687"/>
    <cellStyle name="常规 8 2 2 11 3 3" xfId="25688"/>
    <cellStyle name="常规 8 2 2 11 3 4" xfId="25689"/>
    <cellStyle name="常规 8 2 2 11 3 5" xfId="25690"/>
    <cellStyle name="常规 8 2 2 11 3 6" xfId="25691"/>
    <cellStyle name="常规 8 2 2 11 4" xfId="25692"/>
    <cellStyle name="常规 8 2 2 11 5" xfId="25693"/>
    <cellStyle name="常规 8 2 2 11 6" xfId="25694"/>
    <cellStyle name="常规 8 2 2 11 7" xfId="25695"/>
    <cellStyle name="常规 8 2 2 11 8" xfId="25696"/>
    <cellStyle name="常规 8 2 2 12" xfId="25697"/>
    <cellStyle name="常规 8 2 2 12 2" xfId="25698"/>
    <cellStyle name="常规 8 2 2 12 2 2" xfId="25699"/>
    <cellStyle name="常规 8 2 2 12 2 2 2" xfId="25700"/>
    <cellStyle name="常规 8 2 2 12 2 2 3" xfId="25701"/>
    <cellStyle name="常规 8 2 2 12 2 2 4" xfId="25702"/>
    <cellStyle name="常规 8 2 2 12 2 2 5" xfId="25703"/>
    <cellStyle name="常规 8 2 2 12 2 2 6" xfId="25704"/>
    <cellStyle name="常规 8 2 2 12 2 3" xfId="25705"/>
    <cellStyle name="常规 8 2 2 12 2 4" xfId="25706"/>
    <cellStyle name="常规 8 2 2 12 2 5" xfId="25707"/>
    <cellStyle name="常规 8 2 2 12 2 6" xfId="25708"/>
    <cellStyle name="常规 8 2 2 12 2 7" xfId="25709"/>
    <cellStyle name="常规 8 2 2 12 3" xfId="25710"/>
    <cellStyle name="常规 8 2 2 12 3 2" xfId="25711"/>
    <cellStyle name="常规 8 2 2 12 3 3" xfId="25712"/>
    <cellStyle name="常规 8 2 2 12 3 4" xfId="25713"/>
    <cellStyle name="常规 8 2 2 12 3 5" xfId="25714"/>
    <cellStyle name="常规 8 2 2 12 3 6" xfId="25715"/>
    <cellStyle name="常规 8 2 2 12 4" xfId="25716"/>
    <cellStyle name="常规 8 2 2 12 5" xfId="25717"/>
    <cellStyle name="常规 8 2 2 12 6" xfId="25718"/>
    <cellStyle name="常规 8 2 2 12 7" xfId="25719"/>
    <cellStyle name="常规 8 2 2 12 8" xfId="25720"/>
    <cellStyle name="常规 8 2 2 13" xfId="25721"/>
    <cellStyle name="常规 8 2 2 13 2" xfId="25722"/>
    <cellStyle name="常规 8 2 2 13 2 2" xfId="25723"/>
    <cellStyle name="常规 8 2 2 13 2 2 2" xfId="25724"/>
    <cellStyle name="常规 8 2 2 13 2 2 3" xfId="25725"/>
    <cellStyle name="常规 8 2 2 13 2 2 4" xfId="25726"/>
    <cellStyle name="常规 8 2 2 13 2 2 5" xfId="25727"/>
    <cellStyle name="常规 8 2 2 13 2 2 6" xfId="25728"/>
    <cellStyle name="常规 8 2 2 13 2 3" xfId="25729"/>
    <cellStyle name="常规 8 2 2 13 2 4" xfId="25730"/>
    <cellStyle name="常规 8 2 2 13 2 5" xfId="25731"/>
    <cellStyle name="常规 8 2 2 13 2 6" xfId="25732"/>
    <cellStyle name="常规 8 2 2 13 2 7" xfId="25733"/>
    <cellStyle name="常规 8 2 2 13 3" xfId="25734"/>
    <cellStyle name="常规 8 2 2 13 3 2" xfId="25735"/>
    <cellStyle name="常规 8 2 2 13 3 3" xfId="25736"/>
    <cellStyle name="常规 8 2 2 13 3 4" xfId="25737"/>
    <cellStyle name="常规 8 2 2 13 3 5" xfId="25738"/>
    <cellStyle name="常规 8 2 2 13 3 6" xfId="25739"/>
    <cellStyle name="常规 8 2 2 13 4" xfId="25740"/>
    <cellStyle name="常规 8 2 2 13 5" xfId="25741"/>
    <cellStyle name="常规 8 2 2 13 6" xfId="25742"/>
    <cellStyle name="常规 8 2 2 13 7" xfId="25743"/>
    <cellStyle name="常规 8 2 2 13 8" xfId="25744"/>
    <cellStyle name="常规 8 2 2 14" xfId="25745"/>
    <cellStyle name="常规 8 2 2 14 2" xfId="25746"/>
    <cellStyle name="常规 8 2 2 14 2 2" xfId="25747"/>
    <cellStyle name="常规 8 2 2 14 2 2 2" xfId="25748"/>
    <cellStyle name="常规 8 2 2 14 2 2 3" xfId="25749"/>
    <cellStyle name="常规 8 2 2 14 2 2 4" xfId="25750"/>
    <cellStyle name="常规 8 2 2 14 2 2 5" xfId="25751"/>
    <cellStyle name="常规 8 2 2 14 2 2 6" xfId="25752"/>
    <cellStyle name="常规 8 2 2 14 2 3" xfId="25753"/>
    <cellStyle name="常规 8 2 2 14 2 4" xfId="25754"/>
    <cellStyle name="常规 8 2 2 14 2 5" xfId="25755"/>
    <cellStyle name="常规 8 2 2 14 2 6" xfId="25756"/>
    <cellStyle name="常规 8 2 2 14 2 7" xfId="25757"/>
    <cellStyle name="常规 8 2 2 14 3" xfId="25758"/>
    <cellStyle name="常规 8 2 2 14 3 2" xfId="25759"/>
    <cellStyle name="常规 8 2 2 14 3 3" xfId="25760"/>
    <cellStyle name="常规 8 2 2 14 3 4" xfId="25761"/>
    <cellStyle name="常规 8 2 2 14 3 5" xfId="25762"/>
    <cellStyle name="常规 8 2 2 14 3 6" xfId="25763"/>
    <cellStyle name="常规 8 2 2 14 4" xfId="25764"/>
    <cellStyle name="常规 8 2 2 14 5" xfId="25765"/>
    <cellStyle name="常规 8 2 2 14 6" xfId="25766"/>
    <cellStyle name="常规 8 2 2 14 7" xfId="25767"/>
    <cellStyle name="常规 8 2 2 14 8" xfId="25768"/>
    <cellStyle name="常规 8 2 2 15" xfId="25769"/>
    <cellStyle name="常规 8 2 2 15 2" xfId="25770"/>
    <cellStyle name="常规 8 2 2 15 2 2" xfId="25771"/>
    <cellStyle name="常规 8 2 2 15 2 3" xfId="25772"/>
    <cellStyle name="常规 8 2 2 15 2 4" xfId="25773"/>
    <cellStyle name="常规 8 2 2 15 2 5" xfId="25774"/>
    <cellStyle name="常规 8 2 2 15 2 6" xfId="25775"/>
    <cellStyle name="常规 8 2 2 15 3" xfId="25776"/>
    <cellStyle name="常规 8 2 2 15 4" xfId="25777"/>
    <cellStyle name="常规 8 2 2 15 5" xfId="25778"/>
    <cellStyle name="常规 8 2 2 15 6" xfId="25779"/>
    <cellStyle name="常规 8 2 2 15 7" xfId="25780"/>
    <cellStyle name="常规 8 2 2 16" xfId="25781"/>
    <cellStyle name="常规 8 2 2 16 2" xfId="25782"/>
    <cellStyle name="常规 8 2 2 16 2 2" xfId="25783"/>
    <cellStyle name="常规 8 2 2 16 2 3" xfId="25784"/>
    <cellStyle name="常规 8 2 2 16 2 4" xfId="25785"/>
    <cellStyle name="常规 8 2 2 16 2 5" xfId="25786"/>
    <cellStyle name="常规 8 2 2 16 2 6" xfId="25787"/>
    <cellStyle name="常规 8 2 2 16 3" xfId="25788"/>
    <cellStyle name="常规 8 2 2 16 4" xfId="25789"/>
    <cellStyle name="常规 8 2 2 16 5" xfId="25790"/>
    <cellStyle name="常规 8 2 2 16 6" xfId="25791"/>
    <cellStyle name="常规 8 2 2 16 7" xfId="25792"/>
    <cellStyle name="常规 8 2 2 17" xfId="25793"/>
    <cellStyle name="常规 8 2 2 17 2" xfId="25794"/>
    <cellStyle name="常规 8 2 2 17 3" xfId="25795"/>
    <cellStyle name="常规 8 2 2 17 4" xfId="25796"/>
    <cellStyle name="常规 8 2 2 17 5" xfId="25797"/>
    <cellStyle name="常规 8 2 2 17 6" xfId="25798"/>
    <cellStyle name="常规 8 2 2 18" xfId="25799"/>
    <cellStyle name="常规 8 2 2 19" xfId="25800"/>
    <cellStyle name="常规 8 2 2 2" xfId="25801"/>
    <cellStyle name="常规 8 2 2 2 10" xfId="25802"/>
    <cellStyle name="常规 8 2 2 2 10 2" xfId="25803"/>
    <cellStyle name="常规 8 2 2 2 10 2 2" xfId="25804"/>
    <cellStyle name="常规 8 2 2 2 10 2 3" xfId="25805"/>
    <cellStyle name="常规 8 2 2 2 10 2 4" xfId="25806"/>
    <cellStyle name="常规 8 2 2 2 10 2 5" xfId="25807"/>
    <cellStyle name="常规 8 2 2 2 10 2 6" xfId="25808"/>
    <cellStyle name="常规 8 2 2 2 10 3" xfId="25809"/>
    <cellStyle name="常规 8 2 2 2 10 4" xfId="25810"/>
    <cellStyle name="常规 8 2 2 2 10 5" xfId="25811"/>
    <cellStyle name="常规 8 2 2 2 10 6" xfId="25812"/>
    <cellStyle name="常规 8 2 2 2 10 7" xfId="25813"/>
    <cellStyle name="常规 8 2 2 2 11" xfId="25814"/>
    <cellStyle name="常规 8 2 2 2 2" xfId="25815"/>
    <cellStyle name="常规 8 2 2 2 2 2" xfId="25816"/>
    <cellStyle name="常规 8 2 2 2 2 2 2" xfId="25817"/>
    <cellStyle name="常规 8 2 2 2 2 2 3" xfId="25818"/>
    <cellStyle name="常规 8 2 2 2 2 2 4" xfId="25819"/>
    <cellStyle name="常规 8 2 2 2 2 2 5" xfId="25820"/>
    <cellStyle name="常规 8 2 2 2 2 2 6" xfId="25821"/>
    <cellStyle name="常规 8 2 2 2 2 2 7" xfId="25822"/>
    <cellStyle name="常规 8 2 2 2 2 2 8" xfId="25823"/>
    <cellStyle name="常规 8 2 2 2 2 3" xfId="25824"/>
    <cellStyle name="常规 8 2 2 2 2 3 2" xfId="25825"/>
    <cellStyle name="常规 8 2 2 2 2 4" xfId="25826"/>
    <cellStyle name="常规 8 2 2 2 2 4 2" xfId="25827"/>
    <cellStyle name="常规 8 2 2 2 2 5" xfId="25828"/>
    <cellStyle name="常规 8 2 2 2 2 6" xfId="25829"/>
    <cellStyle name="常规 8 2 2 2 2 7" xfId="25830"/>
    <cellStyle name="常规 8 2 2 2 2 8" xfId="25831"/>
    <cellStyle name="常规 8 2 2 2 3" xfId="25832"/>
    <cellStyle name="常规 8 2 2 2 3 2" xfId="25833"/>
    <cellStyle name="常规 8 2 2 2 3 2 2" xfId="25834"/>
    <cellStyle name="常规 8 2 2 2 3 2 3" xfId="25835"/>
    <cellStyle name="常规 8 2 2 2 3 2 4" xfId="25836"/>
    <cellStyle name="常规 8 2 2 2 3 2 5" xfId="25837"/>
    <cellStyle name="常规 8 2 2 2 3 2 6" xfId="25838"/>
    <cellStyle name="常规 8 2 2 2 3 2 7" xfId="25839"/>
    <cellStyle name="常规 8 2 2 2 3 2 8" xfId="25840"/>
    <cellStyle name="常规 8 2 2 2 3 3" xfId="25841"/>
    <cellStyle name="常规 8 2 2 2 3 3 2" xfId="25842"/>
    <cellStyle name="常规 8 2 2 2 3 4" xfId="25843"/>
    <cellStyle name="常规 8 2 2 2 3 4 2" xfId="25844"/>
    <cellStyle name="常规 8 2 2 2 3 5" xfId="25845"/>
    <cellStyle name="常规 8 2 2 2 3 6" xfId="25846"/>
    <cellStyle name="常规 8 2 2 2 3 7" xfId="25847"/>
    <cellStyle name="常规 8 2 2 2 3 8" xfId="25848"/>
    <cellStyle name="常规 8 2 2 2 4" xfId="25849"/>
    <cellStyle name="常规 8 2 2 2 4 2" xfId="25850"/>
    <cellStyle name="常规 8 2 2 2 4 2 2" xfId="25851"/>
    <cellStyle name="常规 8 2 2 2 4 2 3" xfId="25852"/>
    <cellStyle name="常规 8 2 2 2 4 2 4" xfId="25853"/>
    <cellStyle name="常规 8 2 2 2 4 2 5" xfId="25854"/>
    <cellStyle name="常规 8 2 2 2 4 2 6" xfId="25855"/>
    <cellStyle name="常规 8 2 2 2 4 3" xfId="25856"/>
    <cellStyle name="常规 8 2 2 2 4 4" xfId="25857"/>
    <cellStyle name="常规 8 2 2 2 4 5" xfId="25858"/>
    <cellStyle name="常规 8 2 2 2 4 6" xfId="25859"/>
    <cellStyle name="常规 8 2 2 2 4 7" xfId="25860"/>
    <cellStyle name="常规 8 2 2 2 4 8" xfId="25861"/>
    <cellStyle name="常规 8 2 2 2 4 9" xfId="25862"/>
    <cellStyle name="常规 8 2 2 2 5" xfId="25863"/>
    <cellStyle name="常规 8 2 2 2 5 2" xfId="25864"/>
    <cellStyle name="常规 8 2 2 2 5 2 2" xfId="25865"/>
    <cellStyle name="常规 8 2 2 2 5 2 3" xfId="25866"/>
    <cellStyle name="常规 8 2 2 2 5 2 4" xfId="25867"/>
    <cellStyle name="常规 8 2 2 2 5 2 5" xfId="25868"/>
    <cellStyle name="常规 8 2 2 2 5 2 6" xfId="25869"/>
    <cellStyle name="常规 8 2 2 2 5 3" xfId="25870"/>
    <cellStyle name="常规 8 2 2 2 5 4" xfId="25871"/>
    <cellStyle name="常规 8 2 2 2 5 5" xfId="25872"/>
    <cellStyle name="常规 8 2 2 2 5 6" xfId="25873"/>
    <cellStyle name="常规 8 2 2 2 5 7" xfId="25874"/>
    <cellStyle name="常规 8 2 2 2 5 8" xfId="25875"/>
    <cellStyle name="常规 8 2 2 2 6" xfId="25876"/>
    <cellStyle name="常规 8 2 2 2 6 2" xfId="25877"/>
    <cellStyle name="常规 8 2 2 2 6 2 2" xfId="25878"/>
    <cellStyle name="常规 8 2 2 2 6 2 3" xfId="25879"/>
    <cellStyle name="常规 8 2 2 2 6 2 4" xfId="25880"/>
    <cellStyle name="常规 8 2 2 2 6 2 5" xfId="25881"/>
    <cellStyle name="常规 8 2 2 2 6 2 6" xfId="25882"/>
    <cellStyle name="常规 8 2 2 2 6 3" xfId="25883"/>
    <cellStyle name="常规 8 2 2 2 6 4" xfId="25884"/>
    <cellStyle name="常规 8 2 2 2 6 5" xfId="25885"/>
    <cellStyle name="常规 8 2 2 2 6 6" xfId="25886"/>
    <cellStyle name="常规 8 2 2 2 6 7" xfId="25887"/>
    <cellStyle name="常规 8 2 2 2 6 8" xfId="25888"/>
    <cellStyle name="常规 8 2 2 2 7" xfId="25889"/>
    <cellStyle name="常规 8 2 2 2 7 2" xfId="25890"/>
    <cellStyle name="常规 8 2 2 2 7 2 2" xfId="25891"/>
    <cellStyle name="常规 8 2 2 2 7 2 3" xfId="25892"/>
    <cellStyle name="常规 8 2 2 2 7 2 4" xfId="25893"/>
    <cellStyle name="常规 8 2 2 2 7 2 5" xfId="25894"/>
    <cellStyle name="常规 8 2 2 2 7 2 6" xfId="25895"/>
    <cellStyle name="常规 8 2 2 2 7 3" xfId="25896"/>
    <cellStyle name="常规 8 2 2 2 7 4" xfId="25897"/>
    <cellStyle name="常规 8 2 2 2 7 5" xfId="25898"/>
    <cellStyle name="常规 8 2 2 2 7 6" xfId="25899"/>
    <cellStyle name="常规 8 2 2 2 7 7" xfId="25900"/>
    <cellStyle name="常规 8 2 2 2 8" xfId="25901"/>
    <cellStyle name="常规 8 2 2 2 8 2" xfId="25902"/>
    <cellStyle name="常规 8 2 2 2 8 2 2" xfId="25903"/>
    <cellStyle name="常规 8 2 2 2 8 2 3" xfId="25904"/>
    <cellStyle name="常规 8 2 2 2 8 2 4" xfId="25905"/>
    <cellStyle name="常规 8 2 2 2 8 2 5" xfId="25906"/>
    <cellStyle name="常规 8 2 2 2 8 2 6" xfId="25907"/>
    <cellStyle name="常规 8 2 2 2 8 3" xfId="25908"/>
    <cellStyle name="常规 8 2 2 2 8 4" xfId="25909"/>
    <cellStyle name="常规 8 2 2 2 8 5" xfId="25910"/>
    <cellStyle name="常规 8 2 2 2 8 6" xfId="25911"/>
    <cellStyle name="常规 8 2 2 2 8 7" xfId="25912"/>
    <cellStyle name="常规 8 2 2 2 9" xfId="25913"/>
    <cellStyle name="常规 8 2 2 2 9 2" xfId="25914"/>
    <cellStyle name="常规 8 2 2 2 9 2 2" xfId="25915"/>
    <cellStyle name="常规 8 2 2 2 9 2 3" xfId="25916"/>
    <cellStyle name="常规 8 2 2 2 9 2 4" xfId="25917"/>
    <cellStyle name="常规 8 2 2 2 9 2 5" xfId="25918"/>
    <cellStyle name="常规 8 2 2 2 9 2 6" xfId="25919"/>
    <cellStyle name="常规 8 2 2 2 9 3" xfId="25920"/>
    <cellStyle name="常规 8 2 2 2 9 4" xfId="25921"/>
    <cellStyle name="常规 8 2 2 2 9 5" xfId="25922"/>
    <cellStyle name="常规 8 2 2 2 9 6" xfId="25923"/>
    <cellStyle name="常规 8 2 2 2 9 7" xfId="25924"/>
    <cellStyle name="常规 8 2 2 20" xfId="25925"/>
    <cellStyle name="常规 8 2 2 21" xfId="25926"/>
    <cellStyle name="常规 8 2 2 22" xfId="25927"/>
    <cellStyle name="常规 8 2 2 23" xfId="25928"/>
    <cellStyle name="常规 8 2 2 24" xfId="25929"/>
    <cellStyle name="常规 8 2 2 3" xfId="25930"/>
    <cellStyle name="常规 8 2 2 3 10" xfId="25931"/>
    <cellStyle name="常规 8 2 2 3 10 2" xfId="25932"/>
    <cellStyle name="常规 8 2 2 3 10 3" xfId="25933"/>
    <cellStyle name="常规 8 2 2 3 10 4" xfId="25934"/>
    <cellStyle name="常规 8 2 2 3 10 5" xfId="25935"/>
    <cellStyle name="常规 8 2 2 3 10 6" xfId="25936"/>
    <cellStyle name="常规 8 2 2 3 11" xfId="25937"/>
    <cellStyle name="常规 8 2 2 3 12" xfId="25938"/>
    <cellStyle name="常规 8 2 2 3 13" xfId="25939"/>
    <cellStyle name="常规 8 2 2 3 14" xfId="25940"/>
    <cellStyle name="常规 8 2 2 3 15" xfId="25941"/>
    <cellStyle name="常规 8 2 2 3 16" xfId="25942"/>
    <cellStyle name="常规 8 2 2 3 2" xfId="25943"/>
    <cellStyle name="常规 8 2 2 3 2 2" xfId="25944"/>
    <cellStyle name="常规 8 2 2 3 2 2 2" xfId="25945"/>
    <cellStyle name="常规 8 2 2 3 2 2 3" xfId="25946"/>
    <cellStyle name="常规 8 2 2 3 2 2 4" xfId="25947"/>
    <cellStyle name="常规 8 2 2 3 2 2 5" xfId="25948"/>
    <cellStyle name="常规 8 2 2 3 2 2 6" xfId="25949"/>
    <cellStyle name="常规 8 2 2 3 2 3" xfId="25950"/>
    <cellStyle name="常规 8 2 2 3 2 4" xfId="25951"/>
    <cellStyle name="常规 8 2 2 3 2 5" xfId="25952"/>
    <cellStyle name="常规 8 2 2 3 2 6" xfId="25953"/>
    <cellStyle name="常规 8 2 2 3 2 7" xfId="25954"/>
    <cellStyle name="常规 8 2 2 3 2 8" xfId="25955"/>
    <cellStyle name="常规 8 2 2 3 2 9" xfId="25956"/>
    <cellStyle name="常规 8 2 2 3 3" xfId="25957"/>
    <cellStyle name="常规 8 2 2 3 3 2" xfId="25958"/>
    <cellStyle name="常规 8 2 2 3 3 2 2" xfId="25959"/>
    <cellStyle name="常规 8 2 2 3 3 2 3" xfId="25960"/>
    <cellStyle name="常规 8 2 2 3 3 2 4" xfId="25961"/>
    <cellStyle name="常规 8 2 2 3 3 2 5" xfId="25962"/>
    <cellStyle name="常规 8 2 2 3 3 2 6" xfId="25963"/>
    <cellStyle name="常规 8 2 2 3 3 3" xfId="25964"/>
    <cellStyle name="常规 8 2 2 3 3 4" xfId="25965"/>
    <cellStyle name="常规 8 2 2 3 3 5" xfId="25966"/>
    <cellStyle name="常规 8 2 2 3 3 6" xfId="25967"/>
    <cellStyle name="常规 8 2 2 3 3 7" xfId="25968"/>
    <cellStyle name="常规 8 2 2 3 3 8" xfId="25969"/>
    <cellStyle name="常规 8 2 2 3 4" xfId="25970"/>
    <cellStyle name="常规 8 2 2 3 4 2" xfId="25971"/>
    <cellStyle name="常规 8 2 2 3 4 2 2" xfId="25972"/>
    <cellStyle name="常规 8 2 2 3 4 2 3" xfId="25973"/>
    <cellStyle name="常规 8 2 2 3 4 2 4" xfId="25974"/>
    <cellStyle name="常规 8 2 2 3 4 2 5" xfId="25975"/>
    <cellStyle name="常规 8 2 2 3 4 2 6" xfId="25976"/>
    <cellStyle name="常规 8 2 2 3 4 3" xfId="25977"/>
    <cellStyle name="常规 8 2 2 3 4 4" xfId="25978"/>
    <cellStyle name="常规 8 2 2 3 4 5" xfId="25979"/>
    <cellStyle name="常规 8 2 2 3 4 6" xfId="25980"/>
    <cellStyle name="常规 8 2 2 3 4 7" xfId="25981"/>
    <cellStyle name="常规 8 2 2 3 4 8" xfId="25982"/>
    <cellStyle name="常规 8 2 2 3 5" xfId="25983"/>
    <cellStyle name="常规 8 2 2 3 5 2" xfId="25984"/>
    <cellStyle name="常规 8 2 2 3 5 2 2" xfId="25985"/>
    <cellStyle name="常规 8 2 2 3 5 2 3" xfId="25986"/>
    <cellStyle name="常规 8 2 2 3 5 2 4" xfId="25987"/>
    <cellStyle name="常规 8 2 2 3 5 2 5" xfId="25988"/>
    <cellStyle name="常规 8 2 2 3 5 2 6" xfId="25989"/>
    <cellStyle name="常规 8 2 2 3 5 3" xfId="25990"/>
    <cellStyle name="常规 8 2 2 3 5 4" xfId="25991"/>
    <cellStyle name="常规 8 2 2 3 5 5" xfId="25992"/>
    <cellStyle name="常规 8 2 2 3 5 6" xfId="25993"/>
    <cellStyle name="常规 8 2 2 3 5 7" xfId="25994"/>
    <cellStyle name="常规 8 2 2 3 6" xfId="25995"/>
    <cellStyle name="常规 8 2 2 3 6 2" xfId="25996"/>
    <cellStyle name="常规 8 2 2 3 6 2 2" xfId="25997"/>
    <cellStyle name="常规 8 2 2 3 6 2 3" xfId="25998"/>
    <cellStyle name="常规 8 2 2 3 6 2 4" xfId="25999"/>
    <cellStyle name="常规 8 2 2 3 6 2 5" xfId="26000"/>
    <cellStyle name="常规 8 2 2 3 6 2 6" xfId="26001"/>
    <cellStyle name="常规 8 2 2 3 6 3" xfId="26002"/>
    <cellStyle name="常规 8 2 2 3 6 4" xfId="26003"/>
    <cellStyle name="常规 8 2 2 3 6 5" xfId="26004"/>
    <cellStyle name="常规 8 2 2 3 6 6" xfId="26005"/>
    <cellStyle name="常规 8 2 2 3 6 7" xfId="26006"/>
    <cellStyle name="常规 8 2 2 3 7" xfId="26007"/>
    <cellStyle name="常规 8 2 2 3 7 2" xfId="26008"/>
    <cellStyle name="常规 8 2 2 3 7 2 2" xfId="26009"/>
    <cellStyle name="常规 8 2 2 3 7 2 3" xfId="26010"/>
    <cellStyle name="常规 8 2 2 3 7 2 4" xfId="26011"/>
    <cellStyle name="常规 8 2 2 3 7 2 5" xfId="26012"/>
    <cellStyle name="常规 8 2 2 3 7 2 6" xfId="26013"/>
    <cellStyle name="常规 8 2 2 3 7 3" xfId="26014"/>
    <cellStyle name="常规 8 2 2 3 7 4" xfId="26015"/>
    <cellStyle name="常规 8 2 2 3 7 5" xfId="26016"/>
    <cellStyle name="常规 8 2 2 3 7 6" xfId="26017"/>
    <cellStyle name="常规 8 2 2 3 7 7" xfId="26018"/>
    <cellStyle name="常规 8 2 2 3 8" xfId="26019"/>
    <cellStyle name="常规 8 2 2 3 8 2" xfId="26020"/>
    <cellStyle name="常规 8 2 2 3 8 2 2" xfId="26021"/>
    <cellStyle name="常规 8 2 2 3 8 2 3" xfId="26022"/>
    <cellStyle name="常规 8 2 2 3 8 2 4" xfId="26023"/>
    <cellStyle name="常规 8 2 2 3 8 2 5" xfId="26024"/>
    <cellStyle name="常规 8 2 2 3 8 2 6" xfId="26025"/>
    <cellStyle name="常规 8 2 2 3 8 3" xfId="26026"/>
    <cellStyle name="常规 8 2 2 3 8 4" xfId="26027"/>
    <cellStyle name="常规 8 2 2 3 8 5" xfId="26028"/>
    <cellStyle name="常规 8 2 2 3 8 6" xfId="26029"/>
    <cellStyle name="常规 8 2 2 3 8 7" xfId="26030"/>
    <cellStyle name="常规 8 2 2 3 9" xfId="26031"/>
    <cellStyle name="常规 8 2 2 3 9 2" xfId="26032"/>
    <cellStyle name="常规 8 2 2 3 9 2 2" xfId="26033"/>
    <cellStyle name="常规 8 2 2 3 9 2 3" xfId="26034"/>
    <cellStyle name="常规 8 2 2 3 9 2 4" xfId="26035"/>
    <cellStyle name="常规 8 2 2 3 9 2 5" xfId="26036"/>
    <cellStyle name="常规 8 2 2 3 9 2 6" xfId="26037"/>
    <cellStyle name="常规 8 2 2 3 9 3" xfId="26038"/>
    <cellStyle name="常规 8 2 2 3 9 4" xfId="26039"/>
    <cellStyle name="常规 8 2 2 3 9 5" xfId="26040"/>
    <cellStyle name="常规 8 2 2 3 9 6" xfId="26041"/>
    <cellStyle name="常规 8 2 2 3 9 7" xfId="26042"/>
    <cellStyle name="常规 8 2 2 4" xfId="26043"/>
    <cellStyle name="常规 8 2 2 4 10" xfId="26044"/>
    <cellStyle name="常规 8 2 2 4 10 2" xfId="26045"/>
    <cellStyle name="常规 8 2 2 4 10 3" xfId="26046"/>
    <cellStyle name="常规 8 2 2 4 10 4" xfId="26047"/>
    <cellStyle name="常规 8 2 2 4 10 5" xfId="26048"/>
    <cellStyle name="常规 8 2 2 4 10 6" xfId="26049"/>
    <cellStyle name="常规 8 2 2 4 11" xfId="26050"/>
    <cellStyle name="常规 8 2 2 4 12" xfId="26051"/>
    <cellStyle name="常规 8 2 2 4 13" xfId="26052"/>
    <cellStyle name="常规 8 2 2 4 14" xfId="26053"/>
    <cellStyle name="常规 8 2 2 4 15" xfId="26054"/>
    <cellStyle name="常规 8 2 2 4 16" xfId="26055"/>
    <cellStyle name="常规 8 2 2 4 2" xfId="26056"/>
    <cellStyle name="常规 8 2 2 4 2 2" xfId="26057"/>
    <cellStyle name="常规 8 2 2 4 2 2 2" xfId="26058"/>
    <cellStyle name="常规 8 2 2 4 2 2 3" xfId="26059"/>
    <cellStyle name="常规 8 2 2 4 2 2 4" xfId="26060"/>
    <cellStyle name="常规 8 2 2 4 2 2 5" xfId="26061"/>
    <cellStyle name="常规 8 2 2 4 2 2 6" xfId="26062"/>
    <cellStyle name="常规 8 2 2 4 2 3" xfId="26063"/>
    <cellStyle name="常规 8 2 2 4 2 4" xfId="26064"/>
    <cellStyle name="常规 8 2 2 4 2 5" xfId="26065"/>
    <cellStyle name="常规 8 2 2 4 2 6" xfId="26066"/>
    <cellStyle name="常规 8 2 2 4 2 7" xfId="26067"/>
    <cellStyle name="常规 8 2 2 4 2 8" xfId="26068"/>
    <cellStyle name="常规 8 2 2 4 2 9" xfId="26069"/>
    <cellStyle name="常规 8 2 2 4 3" xfId="26070"/>
    <cellStyle name="常规 8 2 2 4 3 2" xfId="26071"/>
    <cellStyle name="常规 8 2 2 4 3 2 2" xfId="26072"/>
    <cellStyle name="常规 8 2 2 4 3 2 3" xfId="26073"/>
    <cellStyle name="常规 8 2 2 4 3 2 4" xfId="26074"/>
    <cellStyle name="常规 8 2 2 4 3 2 5" xfId="26075"/>
    <cellStyle name="常规 8 2 2 4 3 2 6" xfId="26076"/>
    <cellStyle name="常规 8 2 2 4 3 3" xfId="26077"/>
    <cellStyle name="常规 8 2 2 4 3 4" xfId="26078"/>
    <cellStyle name="常规 8 2 2 4 3 5" xfId="26079"/>
    <cellStyle name="常规 8 2 2 4 3 6" xfId="26080"/>
    <cellStyle name="常规 8 2 2 4 3 7" xfId="26081"/>
    <cellStyle name="常规 8 2 2 4 3 8" xfId="26082"/>
    <cellStyle name="常规 8 2 2 4 4" xfId="26083"/>
    <cellStyle name="常规 8 2 2 4 4 2" xfId="26084"/>
    <cellStyle name="常规 8 2 2 4 4 2 2" xfId="26085"/>
    <cellStyle name="常规 8 2 2 4 4 2 3" xfId="26086"/>
    <cellStyle name="常规 8 2 2 4 4 2 4" xfId="26087"/>
    <cellStyle name="常规 8 2 2 4 4 2 5" xfId="26088"/>
    <cellStyle name="常规 8 2 2 4 4 2 6" xfId="26089"/>
    <cellStyle name="常规 8 2 2 4 4 3" xfId="26090"/>
    <cellStyle name="常规 8 2 2 4 4 4" xfId="26091"/>
    <cellStyle name="常规 8 2 2 4 4 5" xfId="26092"/>
    <cellStyle name="常规 8 2 2 4 4 6" xfId="26093"/>
    <cellStyle name="常规 8 2 2 4 4 7" xfId="26094"/>
    <cellStyle name="常规 8 2 2 4 4 8" xfId="26095"/>
    <cellStyle name="常规 8 2 2 4 5" xfId="26096"/>
    <cellStyle name="常规 8 2 2 4 5 2" xfId="26097"/>
    <cellStyle name="常规 8 2 2 4 5 2 2" xfId="26098"/>
    <cellStyle name="常规 8 2 2 4 5 2 3" xfId="26099"/>
    <cellStyle name="常规 8 2 2 4 5 2 4" xfId="26100"/>
    <cellStyle name="常规 8 2 2 4 5 2 5" xfId="26101"/>
    <cellStyle name="常规 8 2 2 4 5 2 6" xfId="26102"/>
    <cellStyle name="常规 8 2 2 4 5 3" xfId="26103"/>
    <cellStyle name="常规 8 2 2 4 5 4" xfId="26104"/>
    <cellStyle name="常规 8 2 2 4 5 5" xfId="26105"/>
    <cellStyle name="常规 8 2 2 4 5 6" xfId="26106"/>
    <cellStyle name="常规 8 2 2 4 5 7" xfId="26107"/>
    <cellStyle name="常规 8 2 2 4 6" xfId="26108"/>
    <cellStyle name="常规 8 2 2 4 6 2" xfId="26109"/>
    <cellStyle name="常规 8 2 2 4 6 2 2" xfId="26110"/>
    <cellStyle name="常规 8 2 2 4 6 2 3" xfId="26111"/>
    <cellStyle name="常规 8 2 2 4 6 2 4" xfId="26112"/>
    <cellStyle name="常规 8 2 2 4 6 2 5" xfId="26113"/>
    <cellStyle name="常规 8 2 2 4 6 2 6" xfId="26114"/>
    <cellStyle name="常规 8 2 2 4 6 3" xfId="26115"/>
    <cellStyle name="常规 8 2 2 4 6 4" xfId="26116"/>
    <cellStyle name="常规 8 2 2 4 6 5" xfId="26117"/>
    <cellStyle name="常规 8 2 2 4 6 6" xfId="26118"/>
    <cellStyle name="常规 8 2 2 4 6 7" xfId="26119"/>
    <cellStyle name="常规 8 2 2 4 7" xfId="26120"/>
    <cellStyle name="常规 8 2 2 4 7 2" xfId="26121"/>
    <cellStyle name="常规 8 2 2 4 7 2 2" xfId="26122"/>
    <cellStyle name="常规 8 2 2 4 7 2 3" xfId="26123"/>
    <cellStyle name="常规 8 2 2 4 7 2 4" xfId="26124"/>
    <cellStyle name="常规 8 2 2 4 7 2 5" xfId="26125"/>
    <cellStyle name="常规 8 2 2 4 7 2 6" xfId="26126"/>
    <cellStyle name="常规 8 2 2 4 7 3" xfId="26127"/>
    <cellStyle name="常规 8 2 2 4 7 4" xfId="26128"/>
    <cellStyle name="常规 8 2 2 4 7 5" xfId="26129"/>
    <cellStyle name="常规 8 2 2 4 7 6" xfId="26130"/>
    <cellStyle name="常规 8 2 2 4 7 7" xfId="26131"/>
    <cellStyle name="常规 8 2 2 4 8" xfId="26132"/>
    <cellStyle name="常规 8 2 2 4 8 2" xfId="26133"/>
    <cellStyle name="常规 8 2 2 4 8 2 2" xfId="26134"/>
    <cellStyle name="常规 8 2 2 4 8 2 3" xfId="26135"/>
    <cellStyle name="常规 8 2 2 4 8 2 4" xfId="26136"/>
    <cellStyle name="常规 8 2 2 4 8 2 5" xfId="26137"/>
    <cellStyle name="常规 8 2 2 4 8 2 6" xfId="26138"/>
    <cellStyle name="常规 8 2 2 4 8 3" xfId="26139"/>
    <cellStyle name="常规 8 2 2 4 8 4" xfId="26140"/>
    <cellStyle name="常规 8 2 2 4 8 5" xfId="26141"/>
    <cellStyle name="常规 8 2 2 4 8 6" xfId="26142"/>
    <cellStyle name="常规 8 2 2 4 8 7" xfId="26143"/>
    <cellStyle name="常规 8 2 2 4 9" xfId="26144"/>
    <cellStyle name="常规 8 2 2 4 9 2" xfId="26145"/>
    <cellStyle name="常规 8 2 2 4 9 2 2" xfId="26146"/>
    <cellStyle name="常规 8 2 2 4 9 2 3" xfId="26147"/>
    <cellStyle name="常规 8 2 2 4 9 2 4" xfId="26148"/>
    <cellStyle name="常规 8 2 2 4 9 2 5" xfId="26149"/>
    <cellStyle name="常规 8 2 2 4 9 2 6" xfId="26150"/>
    <cellStyle name="常规 8 2 2 4 9 3" xfId="26151"/>
    <cellStyle name="常规 8 2 2 4 9 4" xfId="26152"/>
    <cellStyle name="常规 8 2 2 4 9 5" xfId="26153"/>
    <cellStyle name="常规 8 2 2 4 9 6" xfId="26154"/>
    <cellStyle name="常规 8 2 2 4 9 7" xfId="26155"/>
    <cellStyle name="常规 8 2 2 5" xfId="26156"/>
    <cellStyle name="常规 8 2 2 5 10" xfId="26157"/>
    <cellStyle name="常规 8 2 2 5 11" xfId="26158"/>
    <cellStyle name="常规 8 2 2 5 12" xfId="26159"/>
    <cellStyle name="常规 8 2 2 5 13" xfId="26160"/>
    <cellStyle name="常规 8 2 2 5 14" xfId="26161"/>
    <cellStyle name="常规 8 2 2 5 15" xfId="26162"/>
    <cellStyle name="常规 8 2 2 5 16" xfId="26163"/>
    <cellStyle name="常规 8 2 2 5 2" xfId="26164"/>
    <cellStyle name="常规 8 2 2 5 2 2" xfId="26165"/>
    <cellStyle name="常规 8 2 2 5 2 2 2" xfId="26166"/>
    <cellStyle name="常规 8 2 2 5 2 2 3" xfId="26167"/>
    <cellStyle name="常规 8 2 2 5 2 2 4" xfId="26168"/>
    <cellStyle name="常规 8 2 2 5 2 2 5" xfId="26169"/>
    <cellStyle name="常规 8 2 2 5 2 2 6" xfId="26170"/>
    <cellStyle name="常规 8 2 2 5 2 3" xfId="26171"/>
    <cellStyle name="常规 8 2 2 5 2 4" xfId="26172"/>
    <cellStyle name="常规 8 2 2 5 2 5" xfId="26173"/>
    <cellStyle name="常规 8 2 2 5 2 6" xfId="26174"/>
    <cellStyle name="常规 8 2 2 5 2 7" xfId="26175"/>
    <cellStyle name="常规 8 2 2 5 3" xfId="26176"/>
    <cellStyle name="常规 8 2 2 5 3 2" xfId="26177"/>
    <cellStyle name="常规 8 2 2 5 3 2 2" xfId="26178"/>
    <cellStyle name="常规 8 2 2 5 3 2 3" xfId="26179"/>
    <cellStyle name="常规 8 2 2 5 3 2 4" xfId="26180"/>
    <cellStyle name="常规 8 2 2 5 3 2 5" xfId="26181"/>
    <cellStyle name="常规 8 2 2 5 3 2 6" xfId="26182"/>
    <cellStyle name="常规 8 2 2 5 3 3" xfId="26183"/>
    <cellStyle name="常规 8 2 2 5 3 4" xfId="26184"/>
    <cellStyle name="常规 8 2 2 5 3 5" xfId="26185"/>
    <cellStyle name="常规 8 2 2 5 3 6" xfId="26186"/>
    <cellStyle name="常规 8 2 2 5 3 7" xfId="26187"/>
    <cellStyle name="常规 8 2 2 5 4" xfId="26188"/>
    <cellStyle name="常规 8 2 2 5 4 2" xfId="26189"/>
    <cellStyle name="常规 8 2 2 5 4 2 2" xfId="26190"/>
    <cellStyle name="常规 8 2 2 5 4 2 3" xfId="26191"/>
    <cellStyle name="常规 8 2 2 5 4 2 4" xfId="26192"/>
    <cellStyle name="常规 8 2 2 5 4 2 5" xfId="26193"/>
    <cellStyle name="常规 8 2 2 5 4 2 6" xfId="26194"/>
    <cellStyle name="常规 8 2 2 5 4 3" xfId="26195"/>
    <cellStyle name="常规 8 2 2 5 4 4" xfId="26196"/>
    <cellStyle name="常规 8 2 2 5 4 5" xfId="26197"/>
    <cellStyle name="常规 8 2 2 5 4 6" xfId="26198"/>
    <cellStyle name="常规 8 2 2 5 4 7" xfId="26199"/>
    <cellStyle name="常规 8 2 2 5 5" xfId="26200"/>
    <cellStyle name="常规 8 2 2 5 5 2" xfId="26201"/>
    <cellStyle name="常规 8 2 2 5 5 2 2" xfId="26202"/>
    <cellStyle name="常规 8 2 2 5 5 2 3" xfId="26203"/>
    <cellStyle name="常规 8 2 2 5 5 2 4" xfId="26204"/>
    <cellStyle name="常规 8 2 2 5 5 2 5" xfId="26205"/>
    <cellStyle name="常规 8 2 2 5 5 2 6" xfId="26206"/>
    <cellStyle name="常规 8 2 2 5 5 3" xfId="26207"/>
    <cellStyle name="常规 8 2 2 5 5 4" xfId="26208"/>
    <cellStyle name="常规 8 2 2 5 5 5" xfId="26209"/>
    <cellStyle name="常规 8 2 2 5 5 6" xfId="26210"/>
    <cellStyle name="常规 8 2 2 5 5 7" xfId="26211"/>
    <cellStyle name="常规 8 2 2 5 6" xfId="26212"/>
    <cellStyle name="常规 8 2 2 5 6 2" xfId="26213"/>
    <cellStyle name="常规 8 2 2 5 6 2 2" xfId="26214"/>
    <cellStyle name="常规 8 2 2 5 6 2 3" xfId="26215"/>
    <cellStyle name="常规 8 2 2 5 6 2 4" xfId="26216"/>
    <cellStyle name="常规 8 2 2 5 6 2 5" xfId="26217"/>
    <cellStyle name="常规 8 2 2 5 6 2 6" xfId="26218"/>
    <cellStyle name="常规 8 2 2 5 6 3" xfId="26219"/>
    <cellStyle name="常规 8 2 2 5 6 4" xfId="26220"/>
    <cellStyle name="常规 8 2 2 5 6 5" xfId="26221"/>
    <cellStyle name="常规 8 2 2 5 6 6" xfId="26222"/>
    <cellStyle name="常规 8 2 2 5 6 7" xfId="26223"/>
    <cellStyle name="常规 8 2 2 5 7" xfId="26224"/>
    <cellStyle name="常规 8 2 2 5 7 2" xfId="26225"/>
    <cellStyle name="常规 8 2 2 5 7 2 2" xfId="26226"/>
    <cellStyle name="常规 8 2 2 5 7 2 3" xfId="26227"/>
    <cellStyle name="常规 8 2 2 5 7 2 4" xfId="26228"/>
    <cellStyle name="常规 8 2 2 5 7 2 5" xfId="26229"/>
    <cellStyle name="常规 8 2 2 5 7 2 6" xfId="26230"/>
    <cellStyle name="常规 8 2 2 5 7 3" xfId="26231"/>
    <cellStyle name="常规 8 2 2 5 7 4" xfId="26232"/>
    <cellStyle name="常规 8 2 2 5 7 5" xfId="26233"/>
    <cellStyle name="常规 8 2 2 5 7 6" xfId="26234"/>
    <cellStyle name="常规 8 2 2 5 7 7" xfId="26235"/>
    <cellStyle name="常规 8 2 2 5 8" xfId="26236"/>
    <cellStyle name="常规 8 2 2 5 8 2" xfId="26237"/>
    <cellStyle name="常规 8 2 2 5 8 2 2" xfId="26238"/>
    <cellStyle name="常规 8 2 2 5 8 2 3" xfId="26239"/>
    <cellStyle name="常规 8 2 2 5 8 2 4" xfId="26240"/>
    <cellStyle name="常规 8 2 2 5 8 2 5" xfId="26241"/>
    <cellStyle name="常规 8 2 2 5 8 2 6" xfId="26242"/>
    <cellStyle name="常规 8 2 2 5 8 3" xfId="26243"/>
    <cellStyle name="常规 8 2 2 5 8 4" xfId="26244"/>
    <cellStyle name="常规 8 2 2 5 8 5" xfId="26245"/>
    <cellStyle name="常规 8 2 2 5 8 6" xfId="26246"/>
    <cellStyle name="常规 8 2 2 5 8 7" xfId="26247"/>
    <cellStyle name="常规 8 2 2 5 9" xfId="26248"/>
    <cellStyle name="常规 8 2 2 5 9 2" xfId="26249"/>
    <cellStyle name="常规 8 2 2 5 9 3" xfId="26250"/>
    <cellStyle name="常规 8 2 2 5 9 4" xfId="26251"/>
    <cellStyle name="常规 8 2 2 5 9 5" xfId="26252"/>
    <cellStyle name="常规 8 2 2 5 9 6" xfId="26253"/>
    <cellStyle name="常规 8 2 2 6" xfId="26254"/>
    <cellStyle name="常规 8 2 2 6 10" xfId="26255"/>
    <cellStyle name="常规 8 2 2 6 11" xfId="26256"/>
    <cellStyle name="常规 8 2 2 6 12" xfId="26257"/>
    <cellStyle name="常规 8 2 2 6 13" xfId="26258"/>
    <cellStyle name="常规 8 2 2 6 14" xfId="26259"/>
    <cellStyle name="常规 8 2 2 6 2" xfId="26260"/>
    <cellStyle name="常规 8 2 2 6 2 2" xfId="26261"/>
    <cellStyle name="常规 8 2 2 6 2 2 2" xfId="26262"/>
    <cellStyle name="常规 8 2 2 6 2 2 3" xfId="26263"/>
    <cellStyle name="常规 8 2 2 6 2 2 4" xfId="26264"/>
    <cellStyle name="常规 8 2 2 6 2 2 5" xfId="26265"/>
    <cellStyle name="常规 8 2 2 6 2 2 6" xfId="26266"/>
    <cellStyle name="常规 8 2 2 6 2 3" xfId="26267"/>
    <cellStyle name="常规 8 2 2 6 2 4" xfId="26268"/>
    <cellStyle name="常规 8 2 2 6 2 5" xfId="26269"/>
    <cellStyle name="常规 8 2 2 6 2 6" xfId="26270"/>
    <cellStyle name="常规 8 2 2 6 2 7" xfId="26271"/>
    <cellStyle name="常规 8 2 2 6 3" xfId="26272"/>
    <cellStyle name="常规 8 2 2 6 3 2" xfId="26273"/>
    <cellStyle name="常规 8 2 2 6 3 2 2" xfId="26274"/>
    <cellStyle name="常规 8 2 2 6 3 2 3" xfId="26275"/>
    <cellStyle name="常规 8 2 2 6 3 2 4" xfId="26276"/>
    <cellStyle name="常规 8 2 2 6 3 2 5" xfId="26277"/>
    <cellStyle name="常规 8 2 2 6 3 2 6" xfId="26278"/>
    <cellStyle name="常规 8 2 2 6 3 3" xfId="26279"/>
    <cellStyle name="常规 8 2 2 6 3 4" xfId="26280"/>
    <cellStyle name="常规 8 2 2 6 3 5" xfId="26281"/>
    <cellStyle name="常规 8 2 2 6 3 6" xfId="26282"/>
    <cellStyle name="常规 8 2 2 6 3 7" xfId="26283"/>
    <cellStyle name="常规 8 2 2 6 4" xfId="26284"/>
    <cellStyle name="常规 8 2 2 6 4 2" xfId="26285"/>
    <cellStyle name="常规 8 2 2 6 4 2 2" xfId="26286"/>
    <cellStyle name="常规 8 2 2 6 4 2 3" xfId="26287"/>
    <cellStyle name="常规 8 2 2 6 4 2 4" xfId="26288"/>
    <cellStyle name="常规 8 2 2 6 4 2 5" xfId="26289"/>
    <cellStyle name="常规 8 2 2 6 4 2 6" xfId="26290"/>
    <cellStyle name="常规 8 2 2 6 4 3" xfId="26291"/>
    <cellStyle name="常规 8 2 2 6 4 4" xfId="26292"/>
    <cellStyle name="常规 8 2 2 6 4 5" xfId="26293"/>
    <cellStyle name="常规 8 2 2 6 4 6" xfId="26294"/>
    <cellStyle name="常规 8 2 2 6 4 7" xfId="26295"/>
    <cellStyle name="常规 8 2 2 6 5" xfId="26296"/>
    <cellStyle name="常规 8 2 2 6 5 2" xfId="26297"/>
    <cellStyle name="常规 8 2 2 6 5 2 2" xfId="26298"/>
    <cellStyle name="常规 8 2 2 6 5 2 3" xfId="26299"/>
    <cellStyle name="常规 8 2 2 6 5 2 4" xfId="26300"/>
    <cellStyle name="常规 8 2 2 6 5 2 5" xfId="26301"/>
    <cellStyle name="常规 8 2 2 6 5 2 6" xfId="26302"/>
    <cellStyle name="常规 8 2 2 6 5 3" xfId="26303"/>
    <cellStyle name="常规 8 2 2 6 5 4" xfId="26304"/>
    <cellStyle name="常规 8 2 2 6 5 5" xfId="26305"/>
    <cellStyle name="常规 8 2 2 6 5 6" xfId="26306"/>
    <cellStyle name="常规 8 2 2 6 5 7" xfId="26307"/>
    <cellStyle name="常规 8 2 2 6 6" xfId="26308"/>
    <cellStyle name="常规 8 2 2 6 6 2" xfId="26309"/>
    <cellStyle name="常规 8 2 2 6 6 2 2" xfId="26310"/>
    <cellStyle name="常规 8 2 2 6 6 2 3" xfId="26311"/>
    <cellStyle name="常规 8 2 2 6 6 2 4" xfId="26312"/>
    <cellStyle name="常规 8 2 2 6 6 2 5" xfId="26313"/>
    <cellStyle name="常规 8 2 2 6 6 2 6" xfId="26314"/>
    <cellStyle name="常规 8 2 2 6 6 3" xfId="26315"/>
    <cellStyle name="常规 8 2 2 6 6 4" xfId="26316"/>
    <cellStyle name="常规 8 2 2 6 6 5" xfId="26317"/>
    <cellStyle name="常规 8 2 2 6 6 6" xfId="26318"/>
    <cellStyle name="常规 8 2 2 6 6 7" xfId="26319"/>
    <cellStyle name="常规 8 2 2 6 7" xfId="26320"/>
    <cellStyle name="常规 8 2 2 6 7 2" xfId="26321"/>
    <cellStyle name="常规 8 2 2 6 7 2 2" xfId="26322"/>
    <cellStyle name="常规 8 2 2 6 7 2 3" xfId="26323"/>
    <cellStyle name="常规 8 2 2 6 7 2 4" xfId="26324"/>
    <cellStyle name="常规 8 2 2 6 7 2 5" xfId="26325"/>
    <cellStyle name="常规 8 2 2 6 7 2 6" xfId="26326"/>
    <cellStyle name="常规 8 2 2 6 7 3" xfId="26327"/>
    <cellStyle name="常规 8 2 2 6 7 4" xfId="26328"/>
    <cellStyle name="常规 8 2 2 6 7 5" xfId="26329"/>
    <cellStyle name="常规 8 2 2 6 7 6" xfId="26330"/>
    <cellStyle name="常规 8 2 2 6 7 7" xfId="26331"/>
    <cellStyle name="常规 8 2 2 6 8" xfId="26332"/>
    <cellStyle name="常规 8 2 2 6 8 2" xfId="26333"/>
    <cellStyle name="常规 8 2 2 6 8 3" xfId="26334"/>
    <cellStyle name="常规 8 2 2 6 8 4" xfId="26335"/>
    <cellStyle name="常规 8 2 2 6 8 5" xfId="26336"/>
    <cellStyle name="常规 8 2 2 6 8 6" xfId="26337"/>
    <cellStyle name="常规 8 2 2 6 9" xfId="26338"/>
    <cellStyle name="常规 8 2 2 7" xfId="26339"/>
    <cellStyle name="常规 8 2 2 7 10" xfId="26340"/>
    <cellStyle name="常规 8 2 2 7 11" xfId="26341"/>
    <cellStyle name="常规 8 2 2 7 12" xfId="26342"/>
    <cellStyle name="常规 8 2 2 7 13" xfId="26343"/>
    <cellStyle name="常规 8 2 2 7 2" xfId="26344"/>
    <cellStyle name="常规 8 2 2 7 2 2" xfId="26345"/>
    <cellStyle name="常规 8 2 2 7 2 2 2" xfId="26346"/>
    <cellStyle name="常规 8 2 2 7 2 2 3" xfId="26347"/>
    <cellStyle name="常规 8 2 2 7 2 2 4" xfId="26348"/>
    <cellStyle name="常规 8 2 2 7 2 2 5" xfId="26349"/>
    <cellStyle name="常规 8 2 2 7 2 2 6" xfId="26350"/>
    <cellStyle name="常规 8 2 2 7 2 3" xfId="26351"/>
    <cellStyle name="常规 8 2 2 7 2 4" xfId="26352"/>
    <cellStyle name="常规 8 2 2 7 2 5" xfId="26353"/>
    <cellStyle name="常规 8 2 2 7 2 6" xfId="26354"/>
    <cellStyle name="常规 8 2 2 7 2 7" xfId="26355"/>
    <cellStyle name="常规 8 2 2 7 3" xfId="26356"/>
    <cellStyle name="常规 8 2 2 7 3 2" xfId="26357"/>
    <cellStyle name="常规 8 2 2 7 3 2 2" xfId="26358"/>
    <cellStyle name="常规 8 2 2 7 3 2 3" xfId="26359"/>
    <cellStyle name="常规 8 2 2 7 3 2 4" xfId="26360"/>
    <cellStyle name="常规 8 2 2 7 3 2 5" xfId="26361"/>
    <cellStyle name="常规 8 2 2 7 3 2 6" xfId="26362"/>
    <cellStyle name="常规 8 2 2 7 3 3" xfId="26363"/>
    <cellStyle name="常规 8 2 2 7 3 4" xfId="26364"/>
    <cellStyle name="常规 8 2 2 7 3 5" xfId="26365"/>
    <cellStyle name="常规 8 2 2 7 3 6" xfId="26366"/>
    <cellStyle name="常规 8 2 2 7 3 7" xfId="26367"/>
    <cellStyle name="常规 8 2 2 7 4" xfId="26368"/>
    <cellStyle name="常规 8 2 2 7 4 2" xfId="26369"/>
    <cellStyle name="常规 8 2 2 7 4 2 2" xfId="26370"/>
    <cellStyle name="常规 8 2 2 7 4 2 3" xfId="26371"/>
    <cellStyle name="常规 8 2 2 7 4 2 4" xfId="26372"/>
    <cellStyle name="常规 8 2 2 7 4 2 5" xfId="26373"/>
    <cellStyle name="常规 8 2 2 7 4 2 6" xfId="26374"/>
    <cellStyle name="常规 8 2 2 7 4 3" xfId="26375"/>
    <cellStyle name="常规 8 2 2 7 4 4" xfId="26376"/>
    <cellStyle name="常规 8 2 2 7 4 5" xfId="26377"/>
    <cellStyle name="常规 8 2 2 7 4 6" xfId="26378"/>
    <cellStyle name="常规 8 2 2 7 4 7" xfId="26379"/>
    <cellStyle name="常规 8 2 2 7 5" xfId="26380"/>
    <cellStyle name="常规 8 2 2 7 5 2" xfId="26381"/>
    <cellStyle name="常规 8 2 2 7 5 2 2" xfId="26382"/>
    <cellStyle name="常规 8 2 2 7 5 2 3" xfId="26383"/>
    <cellStyle name="常规 8 2 2 7 5 2 4" xfId="26384"/>
    <cellStyle name="常规 8 2 2 7 5 2 5" xfId="26385"/>
    <cellStyle name="常规 8 2 2 7 5 2 6" xfId="26386"/>
    <cellStyle name="常规 8 2 2 7 5 3" xfId="26387"/>
    <cellStyle name="常规 8 2 2 7 5 4" xfId="26388"/>
    <cellStyle name="常规 8 2 2 7 5 5" xfId="26389"/>
    <cellStyle name="常规 8 2 2 7 5 6" xfId="26390"/>
    <cellStyle name="常规 8 2 2 7 5 7" xfId="26391"/>
    <cellStyle name="常规 8 2 2 7 6" xfId="26392"/>
    <cellStyle name="常规 8 2 2 7 6 2" xfId="26393"/>
    <cellStyle name="常规 8 2 2 7 6 2 2" xfId="26394"/>
    <cellStyle name="常规 8 2 2 7 6 2 3" xfId="26395"/>
    <cellStyle name="常规 8 2 2 7 6 2 4" xfId="26396"/>
    <cellStyle name="常规 8 2 2 7 6 2 5" xfId="26397"/>
    <cellStyle name="常规 8 2 2 7 6 2 6" xfId="26398"/>
    <cellStyle name="常规 8 2 2 7 6 3" xfId="26399"/>
    <cellStyle name="常规 8 2 2 7 6 4" xfId="26400"/>
    <cellStyle name="常规 8 2 2 7 6 5" xfId="26401"/>
    <cellStyle name="常规 8 2 2 7 6 6" xfId="26402"/>
    <cellStyle name="常规 8 2 2 7 6 7" xfId="26403"/>
    <cellStyle name="常规 8 2 2 7 7" xfId="26404"/>
    <cellStyle name="常规 8 2 2 7 7 2" xfId="26405"/>
    <cellStyle name="常规 8 2 2 7 7 3" xfId="26406"/>
    <cellStyle name="常规 8 2 2 7 7 4" xfId="26407"/>
    <cellStyle name="常规 8 2 2 7 7 5" xfId="26408"/>
    <cellStyle name="常规 8 2 2 7 7 6" xfId="26409"/>
    <cellStyle name="常规 8 2 2 7 8" xfId="26410"/>
    <cellStyle name="常规 8 2 2 7 9" xfId="26411"/>
    <cellStyle name="常规 8 2 2 8" xfId="26412"/>
    <cellStyle name="常规 8 2 2 8 10" xfId="26413"/>
    <cellStyle name="常规 8 2 2 8 11" xfId="26414"/>
    <cellStyle name="常规 8 2 2 8 2" xfId="26415"/>
    <cellStyle name="常规 8 2 2 8 2 2" xfId="26416"/>
    <cellStyle name="常规 8 2 2 8 2 2 2" xfId="26417"/>
    <cellStyle name="常规 8 2 2 8 2 2 3" xfId="26418"/>
    <cellStyle name="常规 8 2 2 8 2 2 4" xfId="26419"/>
    <cellStyle name="常规 8 2 2 8 2 2 5" xfId="26420"/>
    <cellStyle name="常规 8 2 2 8 2 2 6" xfId="26421"/>
    <cellStyle name="常规 8 2 2 8 2 3" xfId="26422"/>
    <cellStyle name="常规 8 2 2 8 2 4" xfId="26423"/>
    <cellStyle name="常规 8 2 2 8 2 5" xfId="26424"/>
    <cellStyle name="常规 8 2 2 8 2 6" xfId="26425"/>
    <cellStyle name="常规 8 2 2 8 2 7" xfId="26426"/>
    <cellStyle name="常规 8 2 2 8 3" xfId="26427"/>
    <cellStyle name="常规 8 2 2 8 3 2" xfId="26428"/>
    <cellStyle name="常规 8 2 2 8 3 2 2" xfId="26429"/>
    <cellStyle name="常规 8 2 2 8 3 2 3" xfId="26430"/>
    <cellStyle name="常规 8 2 2 8 3 2 4" xfId="26431"/>
    <cellStyle name="常规 8 2 2 8 3 2 5" xfId="26432"/>
    <cellStyle name="常规 8 2 2 8 3 2 6" xfId="26433"/>
    <cellStyle name="常规 8 2 2 8 3 3" xfId="26434"/>
    <cellStyle name="常规 8 2 2 8 3 4" xfId="26435"/>
    <cellStyle name="常规 8 2 2 8 3 5" xfId="26436"/>
    <cellStyle name="常规 8 2 2 8 3 6" xfId="26437"/>
    <cellStyle name="常规 8 2 2 8 3 7" xfId="26438"/>
    <cellStyle name="常规 8 2 2 8 4" xfId="26439"/>
    <cellStyle name="常规 8 2 2 8 4 2" xfId="26440"/>
    <cellStyle name="常规 8 2 2 8 4 2 2" xfId="26441"/>
    <cellStyle name="常规 8 2 2 8 4 2 3" xfId="26442"/>
    <cellStyle name="常规 8 2 2 8 4 2 4" xfId="26443"/>
    <cellStyle name="常规 8 2 2 8 4 2 5" xfId="26444"/>
    <cellStyle name="常规 8 2 2 8 4 2 6" xfId="26445"/>
    <cellStyle name="常规 8 2 2 8 4 3" xfId="26446"/>
    <cellStyle name="常规 8 2 2 8 4 4" xfId="26447"/>
    <cellStyle name="常规 8 2 2 8 4 5" xfId="26448"/>
    <cellStyle name="常规 8 2 2 8 4 6" xfId="26449"/>
    <cellStyle name="常规 8 2 2 8 4 7" xfId="26450"/>
    <cellStyle name="常规 8 2 2 8 5" xfId="26451"/>
    <cellStyle name="常规 8 2 2 8 5 2" xfId="26452"/>
    <cellStyle name="常规 8 2 2 8 5 2 2" xfId="26453"/>
    <cellStyle name="常规 8 2 2 8 5 2 3" xfId="26454"/>
    <cellStyle name="常规 8 2 2 8 5 2 4" xfId="26455"/>
    <cellStyle name="常规 8 2 2 8 5 2 5" xfId="26456"/>
    <cellStyle name="常规 8 2 2 8 5 2 6" xfId="26457"/>
    <cellStyle name="常规 8 2 2 8 5 3" xfId="26458"/>
    <cellStyle name="常规 8 2 2 8 5 4" xfId="26459"/>
    <cellStyle name="常规 8 2 2 8 5 5" xfId="26460"/>
    <cellStyle name="常规 8 2 2 8 5 6" xfId="26461"/>
    <cellStyle name="常规 8 2 2 8 5 7" xfId="26462"/>
    <cellStyle name="常规 8 2 2 8 6" xfId="26463"/>
    <cellStyle name="常规 8 2 2 8 6 2" xfId="26464"/>
    <cellStyle name="常规 8 2 2 8 6 3" xfId="26465"/>
    <cellStyle name="常规 8 2 2 8 6 4" xfId="26466"/>
    <cellStyle name="常规 8 2 2 8 6 5" xfId="26467"/>
    <cellStyle name="常规 8 2 2 8 6 6" xfId="26468"/>
    <cellStyle name="常规 8 2 2 8 7" xfId="26469"/>
    <cellStyle name="常规 8 2 2 8 8" xfId="26470"/>
    <cellStyle name="常规 8 2 2 8 9" xfId="26471"/>
    <cellStyle name="常规 8 2 2 9" xfId="26472"/>
    <cellStyle name="常规 8 2 2 9 10" xfId="26473"/>
    <cellStyle name="常规 8 2 2 9 2" xfId="26474"/>
    <cellStyle name="常规 8 2 2 9 2 2" xfId="26475"/>
    <cellStyle name="常规 8 2 2 9 2 2 2" xfId="26476"/>
    <cellStyle name="常规 8 2 2 9 2 2 3" xfId="26477"/>
    <cellStyle name="常规 8 2 2 9 2 2 4" xfId="26478"/>
    <cellStyle name="常规 8 2 2 9 2 2 5" xfId="26479"/>
    <cellStyle name="常规 8 2 2 9 2 2 6" xfId="26480"/>
    <cellStyle name="常规 8 2 2 9 2 3" xfId="26481"/>
    <cellStyle name="常规 8 2 2 9 2 4" xfId="26482"/>
    <cellStyle name="常规 8 2 2 9 2 5" xfId="26483"/>
    <cellStyle name="常规 8 2 2 9 2 6" xfId="26484"/>
    <cellStyle name="常规 8 2 2 9 2 7" xfId="26485"/>
    <cellStyle name="常规 8 2 2 9 3" xfId="26486"/>
    <cellStyle name="常规 8 2 2 9 3 2" xfId="26487"/>
    <cellStyle name="常规 8 2 2 9 3 2 2" xfId="26488"/>
    <cellStyle name="常规 8 2 2 9 3 2 3" xfId="26489"/>
    <cellStyle name="常规 8 2 2 9 3 2 4" xfId="26490"/>
    <cellStyle name="常规 8 2 2 9 3 2 5" xfId="26491"/>
    <cellStyle name="常规 8 2 2 9 3 2 6" xfId="26492"/>
    <cellStyle name="常规 8 2 2 9 3 3" xfId="26493"/>
    <cellStyle name="常规 8 2 2 9 3 4" xfId="26494"/>
    <cellStyle name="常规 8 2 2 9 3 5" xfId="26495"/>
    <cellStyle name="常规 8 2 2 9 3 6" xfId="26496"/>
    <cellStyle name="常规 8 2 2 9 3 7" xfId="26497"/>
    <cellStyle name="常规 8 2 2 9 4" xfId="26498"/>
    <cellStyle name="常规 8 2 2 9 4 2" xfId="26499"/>
    <cellStyle name="常规 8 2 2 9 4 2 2" xfId="26500"/>
    <cellStyle name="常规 8 2 2 9 4 2 3" xfId="26501"/>
    <cellStyle name="常规 8 2 2 9 4 2 4" xfId="26502"/>
    <cellStyle name="常规 8 2 2 9 4 2 5" xfId="26503"/>
    <cellStyle name="常规 8 2 2 9 4 2 6" xfId="26504"/>
    <cellStyle name="常规 8 2 2 9 4 3" xfId="26505"/>
    <cellStyle name="常规 8 2 2 9 4 4" xfId="26506"/>
    <cellStyle name="常规 8 2 2 9 4 5" xfId="26507"/>
    <cellStyle name="常规 8 2 2 9 4 6" xfId="26508"/>
    <cellStyle name="常规 8 2 2 9 4 7" xfId="26509"/>
    <cellStyle name="常规 8 2 2 9 5" xfId="26510"/>
    <cellStyle name="常规 8 2 2 9 5 2" xfId="26511"/>
    <cellStyle name="常规 8 2 2 9 5 3" xfId="26512"/>
    <cellStyle name="常规 8 2 2 9 5 4" xfId="26513"/>
    <cellStyle name="常规 8 2 2 9 5 5" xfId="26514"/>
    <cellStyle name="常规 8 2 2 9 5 6" xfId="26515"/>
    <cellStyle name="常规 8 2 2 9 6" xfId="26516"/>
    <cellStyle name="常规 8 2 2 9 7" xfId="26517"/>
    <cellStyle name="常规 8 2 2 9 8" xfId="26518"/>
    <cellStyle name="常规 8 2 2 9 9" xfId="26519"/>
    <cellStyle name="常规 8 2 20" xfId="26520"/>
    <cellStyle name="常规 8 2 21" xfId="26521"/>
    <cellStyle name="常规 8 2 22" xfId="26522"/>
    <cellStyle name="常规 8 2 23" xfId="26523"/>
    <cellStyle name="常规 8 2 24" xfId="26524"/>
    <cellStyle name="常规 8 2 25" xfId="26525"/>
    <cellStyle name="常规 8 2 26" xfId="26526"/>
    <cellStyle name="常规 8 2 27" xfId="26527"/>
    <cellStyle name="常规 8 2 3" xfId="26528"/>
    <cellStyle name="常规 8 2 3 10" xfId="26529"/>
    <cellStyle name="常规 8 2 3 10 2" xfId="26530"/>
    <cellStyle name="常规 8 2 3 10 2 2" xfId="26531"/>
    <cellStyle name="常规 8 2 3 10 2 3" xfId="26532"/>
    <cellStyle name="常规 8 2 3 10 2 4" xfId="26533"/>
    <cellStyle name="常规 8 2 3 10 2 5" xfId="26534"/>
    <cellStyle name="常规 8 2 3 10 2 6" xfId="26535"/>
    <cellStyle name="常规 8 2 3 10 3" xfId="26536"/>
    <cellStyle name="常规 8 2 3 10 4" xfId="26537"/>
    <cellStyle name="常规 8 2 3 10 5" xfId="26538"/>
    <cellStyle name="常规 8 2 3 10 6" xfId="26539"/>
    <cellStyle name="常规 8 2 3 10 7" xfId="26540"/>
    <cellStyle name="常规 8 2 3 11" xfId="26541"/>
    <cellStyle name="常规 8 2 3 2" xfId="26542"/>
    <cellStyle name="常规 8 2 3 2 2" xfId="26543"/>
    <cellStyle name="常规 8 2 3 2 2 2" xfId="26544"/>
    <cellStyle name="常规 8 2 3 2 2 3" xfId="26545"/>
    <cellStyle name="常规 8 2 3 2 2 4" xfId="26546"/>
    <cellStyle name="常规 8 2 3 2 2 5" xfId="26547"/>
    <cellStyle name="常规 8 2 3 2 2 6" xfId="26548"/>
    <cellStyle name="常规 8 2 3 2 2 7" xfId="26549"/>
    <cellStyle name="常规 8 2 3 2 2 8" xfId="26550"/>
    <cellStyle name="常规 8 2 3 2 3" xfId="26551"/>
    <cellStyle name="常规 8 2 3 2 3 2" xfId="26552"/>
    <cellStyle name="常规 8 2 3 2 4" xfId="26553"/>
    <cellStyle name="常规 8 2 3 2 4 2" xfId="26554"/>
    <cellStyle name="常规 8 2 3 2 5" xfId="26555"/>
    <cellStyle name="常规 8 2 3 2 6" xfId="26556"/>
    <cellStyle name="常规 8 2 3 2 7" xfId="26557"/>
    <cellStyle name="常规 8 2 3 2 8" xfId="26558"/>
    <cellStyle name="常规 8 2 3 3" xfId="26559"/>
    <cellStyle name="常规 8 2 3 3 2" xfId="26560"/>
    <cellStyle name="常规 8 2 3 3 2 2" xfId="26561"/>
    <cellStyle name="常规 8 2 3 3 2 3" xfId="26562"/>
    <cellStyle name="常规 8 2 3 3 2 4" xfId="26563"/>
    <cellStyle name="常规 8 2 3 3 2 5" xfId="26564"/>
    <cellStyle name="常规 8 2 3 3 2 6" xfId="26565"/>
    <cellStyle name="常规 8 2 3 3 2 7" xfId="26566"/>
    <cellStyle name="常规 8 2 3 3 2 8" xfId="26567"/>
    <cellStyle name="常规 8 2 3 3 3" xfId="26568"/>
    <cellStyle name="常规 8 2 3 3 3 2" xfId="26569"/>
    <cellStyle name="常规 8 2 3 3 4" xfId="26570"/>
    <cellStyle name="常规 8 2 3 3 4 2" xfId="26571"/>
    <cellStyle name="常规 8 2 3 3 5" xfId="26572"/>
    <cellStyle name="常规 8 2 3 3 6" xfId="26573"/>
    <cellStyle name="常规 8 2 3 3 7" xfId="26574"/>
    <cellStyle name="常规 8 2 3 3 8" xfId="26575"/>
    <cellStyle name="常规 8 2 3 4" xfId="26576"/>
    <cellStyle name="常规 8 2 3 4 2" xfId="26577"/>
    <cellStyle name="常规 8 2 3 4 2 2" xfId="26578"/>
    <cellStyle name="常规 8 2 3 4 2 3" xfId="26579"/>
    <cellStyle name="常规 8 2 3 4 2 4" xfId="26580"/>
    <cellStyle name="常规 8 2 3 4 2 5" xfId="26581"/>
    <cellStyle name="常规 8 2 3 4 2 6" xfId="26582"/>
    <cellStyle name="常规 8 2 3 4 3" xfId="26583"/>
    <cellStyle name="常规 8 2 3 4 4" xfId="26584"/>
    <cellStyle name="常规 8 2 3 4 5" xfId="26585"/>
    <cellStyle name="常规 8 2 3 4 6" xfId="26586"/>
    <cellStyle name="常规 8 2 3 4 7" xfId="26587"/>
    <cellStyle name="常规 8 2 3 4 8" xfId="26588"/>
    <cellStyle name="常规 8 2 3 4 9" xfId="26589"/>
    <cellStyle name="常规 8 2 3 5" xfId="26590"/>
    <cellStyle name="常规 8 2 3 5 2" xfId="26591"/>
    <cellStyle name="常规 8 2 3 5 2 2" xfId="26592"/>
    <cellStyle name="常规 8 2 3 5 2 3" xfId="26593"/>
    <cellStyle name="常规 8 2 3 5 2 4" xfId="26594"/>
    <cellStyle name="常规 8 2 3 5 2 5" xfId="26595"/>
    <cellStyle name="常规 8 2 3 5 2 6" xfId="26596"/>
    <cellStyle name="常规 8 2 3 5 3" xfId="26597"/>
    <cellStyle name="常规 8 2 3 5 4" xfId="26598"/>
    <cellStyle name="常规 8 2 3 5 5" xfId="26599"/>
    <cellStyle name="常规 8 2 3 5 6" xfId="26600"/>
    <cellStyle name="常规 8 2 3 5 7" xfId="26601"/>
    <cellStyle name="常规 8 2 3 5 8" xfId="26602"/>
    <cellStyle name="常规 8 2 3 6" xfId="26603"/>
    <cellStyle name="常规 8 2 3 6 2" xfId="26604"/>
    <cellStyle name="常规 8 2 3 6 2 2" xfId="26605"/>
    <cellStyle name="常规 8 2 3 6 2 3" xfId="26606"/>
    <cellStyle name="常规 8 2 3 6 2 4" xfId="26607"/>
    <cellStyle name="常规 8 2 3 6 2 5" xfId="26608"/>
    <cellStyle name="常规 8 2 3 6 2 6" xfId="26609"/>
    <cellStyle name="常规 8 2 3 6 3" xfId="26610"/>
    <cellStyle name="常规 8 2 3 6 4" xfId="26611"/>
    <cellStyle name="常规 8 2 3 6 5" xfId="26612"/>
    <cellStyle name="常规 8 2 3 6 6" xfId="26613"/>
    <cellStyle name="常规 8 2 3 6 7" xfId="26614"/>
    <cellStyle name="常规 8 2 3 6 8" xfId="26615"/>
    <cellStyle name="常规 8 2 3 7" xfId="26616"/>
    <cellStyle name="常规 8 2 3 7 2" xfId="26617"/>
    <cellStyle name="常规 8 2 3 7 2 2" xfId="26618"/>
    <cellStyle name="常规 8 2 3 7 2 3" xfId="26619"/>
    <cellStyle name="常规 8 2 3 7 2 4" xfId="26620"/>
    <cellStyle name="常规 8 2 3 7 2 5" xfId="26621"/>
    <cellStyle name="常规 8 2 3 7 2 6" xfId="26622"/>
    <cellStyle name="常规 8 2 3 7 3" xfId="26623"/>
    <cellStyle name="常规 8 2 3 7 4" xfId="26624"/>
    <cellStyle name="常规 8 2 3 7 5" xfId="26625"/>
    <cellStyle name="常规 8 2 3 7 6" xfId="26626"/>
    <cellStyle name="常规 8 2 3 7 7" xfId="26627"/>
    <cellStyle name="常规 8 2 3 8" xfId="26628"/>
    <cellStyle name="常规 8 2 3 8 2" xfId="26629"/>
    <cellStyle name="常规 8 2 3 8 2 2" xfId="26630"/>
    <cellStyle name="常规 8 2 3 8 2 3" xfId="26631"/>
    <cellStyle name="常规 8 2 3 8 2 4" xfId="26632"/>
    <cellStyle name="常规 8 2 3 8 2 5" xfId="26633"/>
    <cellStyle name="常规 8 2 3 8 2 6" xfId="26634"/>
    <cellStyle name="常规 8 2 3 8 3" xfId="26635"/>
    <cellStyle name="常规 8 2 3 8 4" xfId="26636"/>
    <cellStyle name="常规 8 2 3 8 5" xfId="26637"/>
    <cellStyle name="常规 8 2 3 8 6" xfId="26638"/>
    <cellStyle name="常规 8 2 3 8 7" xfId="26639"/>
    <cellStyle name="常规 8 2 3 9" xfId="26640"/>
    <cellStyle name="常规 8 2 3 9 2" xfId="26641"/>
    <cellStyle name="常规 8 2 3 9 2 2" xfId="26642"/>
    <cellStyle name="常规 8 2 3 9 2 3" xfId="26643"/>
    <cellStyle name="常规 8 2 3 9 2 4" xfId="26644"/>
    <cellStyle name="常规 8 2 3 9 2 5" xfId="26645"/>
    <cellStyle name="常规 8 2 3 9 2 6" xfId="26646"/>
    <cellStyle name="常规 8 2 3 9 3" xfId="26647"/>
    <cellStyle name="常规 8 2 3 9 4" xfId="26648"/>
    <cellStyle name="常规 8 2 3 9 5" xfId="26649"/>
    <cellStyle name="常规 8 2 3 9 6" xfId="26650"/>
    <cellStyle name="常规 8 2 3 9 7" xfId="26651"/>
    <cellStyle name="常规 8 2 4" xfId="26652"/>
    <cellStyle name="常规 8 2 4 10" xfId="26653"/>
    <cellStyle name="常规 8 2 4 10 2" xfId="26654"/>
    <cellStyle name="常规 8 2 4 10 3" xfId="26655"/>
    <cellStyle name="常规 8 2 4 10 4" xfId="26656"/>
    <cellStyle name="常规 8 2 4 10 5" xfId="26657"/>
    <cellStyle name="常规 8 2 4 10 6" xfId="26658"/>
    <cellStyle name="常规 8 2 4 11" xfId="26659"/>
    <cellStyle name="常规 8 2 4 12" xfId="26660"/>
    <cellStyle name="常规 8 2 4 13" xfId="26661"/>
    <cellStyle name="常规 8 2 4 14" xfId="26662"/>
    <cellStyle name="常规 8 2 4 15" xfId="26663"/>
    <cellStyle name="常规 8 2 4 16" xfId="26664"/>
    <cellStyle name="常规 8 2 4 2" xfId="26665"/>
    <cellStyle name="常规 8 2 4 2 2" xfId="26666"/>
    <cellStyle name="常规 8 2 4 2 2 2" xfId="26667"/>
    <cellStyle name="常规 8 2 4 2 2 3" xfId="26668"/>
    <cellStyle name="常规 8 2 4 2 2 4" xfId="26669"/>
    <cellStyle name="常规 8 2 4 2 2 5" xfId="26670"/>
    <cellStyle name="常规 8 2 4 2 2 6" xfId="26671"/>
    <cellStyle name="常规 8 2 4 2 3" xfId="26672"/>
    <cellStyle name="常规 8 2 4 2 4" xfId="26673"/>
    <cellStyle name="常规 8 2 4 2 5" xfId="26674"/>
    <cellStyle name="常规 8 2 4 2 6" xfId="26675"/>
    <cellStyle name="常规 8 2 4 2 7" xfId="26676"/>
    <cellStyle name="常规 8 2 4 2 8" xfId="26677"/>
    <cellStyle name="常规 8 2 4 2 9" xfId="26678"/>
    <cellStyle name="常规 8 2 4 3" xfId="26679"/>
    <cellStyle name="常规 8 2 4 3 2" xfId="26680"/>
    <cellStyle name="常规 8 2 4 3 2 2" xfId="26681"/>
    <cellStyle name="常规 8 2 4 3 2 3" xfId="26682"/>
    <cellStyle name="常规 8 2 4 3 2 4" xfId="26683"/>
    <cellStyle name="常规 8 2 4 3 2 5" xfId="26684"/>
    <cellStyle name="常规 8 2 4 3 2 6" xfId="26685"/>
    <cellStyle name="常规 8 2 4 3 3" xfId="26686"/>
    <cellStyle name="常规 8 2 4 3 4" xfId="26687"/>
    <cellStyle name="常规 8 2 4 3 5" xfId="26688"/>
    <cellStyle name="常规 8 2 4 3 6" xfId="26689"/>
    <cellStyle name="常规 8 2 4 3 7" xfId="26690"/>
    <cellStyle name="常规 8 2 4 3 8" xfId="26691"/>
    <cellStyle name="常规 8 2 4 4" xfId="26692"/>
    <cellStyle name="常规 8 2 4 4 2" xfId="26693"/>
    <cellStyle name="常规 8 2 4 4 2 2" xfId="26694"/>
    <cellStyle name="常规 8 2 4 4 2 3" xfId="26695"/>
    <cellStyle name="常规 8 2 4 4 2 4" xfId="26696"/>
    <cellStyle name="常规 8 2 4 4 2 5" xfId="26697"/>
    <cellStyle name="常规 8 2 4 4 2 6" xfId="26698"/>
    <cellStyle name="常规 8 2 4 4 3" xfId="26699"/>
    <cellStyle name="常规 8 2 4 4 4" xfId="26700"/>
    <cellStyle name="常规 8 2 4 4 5" xfId="26701"/>
    <cellStyle name="常规 8 2 4 4 6" xfId="26702"/>
    <cellStyle name="常规 8 2 4 4 7" xfId="26703"/>
    <cellStyle name="常规 8 2 4 4 8" xfId="26704"/>
    <cellStyle name="常规 8 2 4 5" xfId="26705"/>
    <cellStyle name="常规 8 2 4 5 2" xfId="26706"/>
    <cellStyle name="常规 8 2 4 5 2 2" xfId="26707"/>
    <cellStyle name="常规 8 2 4 5 2 3" xfId="26708"/>
    <cellStyle name="常规 8 2 4 5 2 4" xfId="26709"/>
    <cellStyle name="常规 8 2 4 5 2 5" xfId="26710"/>
    <cellStyle name="常规 8 2 4 5 2 6" xfId="26711"/>
    <cellStyle name="常规 8 2 4 5 3" xfId="26712"/>
    <cellStyle name="常规 8 2 4 5 4" xfId="26713"/>
    <cellStyle name="常规 8 2 4 5 5" xfId="26714"/>
    <cellStyle name="常规 8 2 4 5 6" xfId="26715"/>
    <cellStyle name="常规 8 2 4 5 7" xfId="26716"/>
    <cellStyle name="常规 8 2 4 6" xfId="26717"/>
    <cellStyle name="常规 8 2 4 6 2" xfId="26718"/>
    <cellStyle name="常规 8 2 4 6 2 2" xfId="26719"/>
    <cellStyle name="常规 8 2 4 6 2 3" xfId="26720"/>
    <cellStyle name="常规 8 2 4 6 2 4" xfId="26721"/>
    <cellStyle name="常规 8 2 4 6 2 5" xfId="26722"/>
    <cellStyle name="常规 8 2 4 6 2 6" xfId="26723"/>
    <cellStyle name="常规 8 2 4 6 3" xfId="26724"/>
    <cellStyle name="常规 8 2 4 6 4" xfId="26725"/>
    <cellStyle name="常规 8 2 4 6 5" xfId="26726"/>
    <cellStyle name="常规 8 2 4 6 6" xfId="26727"/>
    <cellStyle name="常规 8 2 4 6 7" xfId="26728"/>
    <cellStyle name="常规 8 2 4 7" xfId="26729"/>
    <cellStyle name="常规 8 2 4 7 2" xfId="26730"/>
    <cellStyle name="常规 8 2 4 7 2 2" xfId="26731"/>
    <cellStyle name="常规 8 2 4 7 2 3" xfId="26732"/>
    <cellStyle name="常规 8 2 4 7 2 4" xfId="26733"/>
    <cellStyle name="常规 8 2 4 7 2 5" xfId="26734"/>
    <cellStyle name="常规 8 2 4 7 2 6" xfId="26735"/>
    <cellStyle name="常规 8 2 4 7 3" xfId="26736"/>
    <cellStyle name="常规 8 2 4 7 4" xfId="26737"/>
    <cellStyle name="常规 8 2 4 7 5" xfId="26738"/>
    <cellStyle name="常规 8 2 4 7 6" xfId="26739"/>
    <cellStyle name="常规 8 2 4 7 7" xfId="26740"/>
    <cellStyle name="常规 8 2 4 8" xfId="26741"/>
    <cellStyle name="常规 8 2 4 8 2" xfId="26742"/>
    <cellStyle name="常规 8 2 4 8 2 2" xfId="26743"/>
    <cellStyle name="常规 8 2 4 8 2 3" xfId="26744"/>
    <cellStyle name="常规 8 2 4 8 2 4" xfId="26745"/>
    <cellStyle name="常规 8 2 4 8 2 5" xfId="26746"/>
    <cellStyle name="常规 8 2 4 8 2 6" xfId="26747"/>
    <cellStyle name="常规 8 2 4 8 3" xfId="26748"/>
    <cellStyle name="常规 8 2 4 8 4" xfId="26749"/>
    <cellStyle name="常规 8 2 4 8 5" xfId="26750"/>
    <cellStyle name="常规 8 2 4 8 6" xfId="26751"/>
    <cellStyle name="常规 8 2 4 8 7" xfId="26752"/>
    <cellStyle name="常规 8 2 4 9" xfId="26753"/>
    <cellStyle name="常规 8 2 4 9 2" xfId="26754"/>
    <cellStyle name="常规 8 2 4 9 2 2" xfId="26755"/>
    <cellStyle name="常规 8 2 4 9 2 3" xfId="26756"/>
    <cellStyle name="常规 8 2 4 9 2 4" xfId="26757"/>
    <cellStyle name="常规 8 2 4 9 2 5" xfId="26758"/>
    <cellStyle name="常规 8 2 4 9 2 6" xfId="26759"/>
    <cellStyle name="常规 8 2 4 9 3" xfId="26760"/>
    <cellStyle name="常规 8 2 4 9 4" xfId="26761"/>
    <cellStyle name="常规 8 2 4 9 5" xfId="26762"/>
    <cellStyle name="常规 8 2 4 9 6" xfId="26763"/>
    <cellStyle name="常规 8 2 4 9 7" xfId="26764"/>
    <cellStyle name="常规 8 2 5" xfId="26765"/>
    <cellStyle name="常规 8 2 5 10" xfId="26766"/>
    <cellStyle name="常规 8 2 5 10 2" xfId="26767"/>
    <cellStyle name="常规 8 2 5 10 3" xfId="26768"/>
    <cellStyle name="常规 8 2 5 10 4" xfId="26769"/>
    <cellStyle name="常规 8 2 5 10 5" xfId="26770"/>
    <cellStyle name="常规 8 2 5 10 6" xfId="26771"/>
    <cellStyle name="常规 8 2 5 11" xfId="26772"/>
    <cellStyle name="常规 8 2 5 12" xfId="26773"/>
    <cellStyle name="常规 8 2 5 13" xfId="26774"/>
    <cellStyle name="常规 8 2 5 14" xfId="26775"/>
    <cellStyle name="常规 8 2 5 15" xfId="26776"/>
    <cellStyle name="常规 8 2 5 16" xfId="26777"/>
    <cellStyle name="常规 8 2 5 2" xfId="26778"/>
    <cellStyle name="常规 8 2 5 2 2" xfId="26779"/>
    <cellStyle name="常规 8 2 5 2 2 2" xfId="26780"/>
    <cellStyle name="常规 8 2 5 2 2 3" xfId="26781"/>
    <cellStyle name="常规 8 2 5 2 2 4" xfId="26782"/>
    <cellStyle name="常规 8 2 5 2 2 5" xfId="26783"/>
    <cellStyle name="常规 8 2 5 2 2 6" xfId="26784"/>
    <cellStyle name="常规 8 2 5 2 3" xfId="26785"/>
    <cellStyle name="常规 8 2 5 2 4" xfId="26786"/>
    <cellStyle name="常规 8 2 5 2 5" xfId="26787"/>
    <cellStyle name="常规 8 2 5 2 6" xfId="26788"/>
    <cellStyle name="常规 8 2 5 2 7" xfId="26789"/>
    <cellStyle name="常规 8 2 5 2 8" xfId="26790"/>
    <cellStyle name="常规 8 2 5 2 9" xfId="26791"/>
    <cellStyle name="常规 8 2 5 3" xfId="26792"/>
    <cellStyle name="常规 8 2 5 3 2" xfId="26793"/>
    <cellStyle name="常规 8 2 5 3 2 2" xfId="26794"/>
    <cellStyle name="常规 8 2 5 3 2 3" xfId="26795"/>
    <cellStyle name="常规 8 2 5 3 2 4" xfId="26796"/>
    <cellStyle name="常规 8 2 5 3 2 5" xfId="26797"/>
    <cellStyle name="常规 8 2 5 3 2 6" xfId="26798"/>
    <cellStyle name="常规 8 2 5 3 3" xfId="26799"/>
    <cellStyle name="常规 8 2 5 3 4" xfId="26800"/>
    <cellStyle name="常规 8 2 5 3 5" xfId="26801"/>
    <cellStyle name="常规 8 2 5 3 6" xfId="26802"/>
    <cellStyle name="常规 8 2 5 3 7" xfId="26803"/>
    <cellStyle name="常规 8 2 5 3 8" xfId="26804"/>
    <cellStyle name="常规 8 2 5 4" xfId="26805"/>
    <cellStyle name="常规 8 2 5 4 2" xfId="26806"/>
    <cellStyle name="常规 8 2 5 4 2 2" xfId="26807"/>
    <cellStyle name="常规 8 2 5 4 2 3" xfId="26808"/>
    <cellStyle name="常规 8 2 5 4 2 4" xfId="26809"/>
    <cellStyle name="常规 8 2 5 4 2 5" xfId="26810"/>
    <cellStyle name="常规 8 2 5 4 2 6" xfId="26811"/>
    <cellStyle name="常规 8 2 5 4 3" xfId="26812"/>
    <cellStyle name="常规 8 2 5 4 4" xfId="26813"/>
    <cellStyle name="常规 8 2 5 4 5" xfId="26814"/>
    <cellStyle name="常规 8 2 5 4 6" xfId="26815"/>
    <cellStyle name="常规 8 2 5 4 7" xfId="26816"/>
    <cellStyle name="常规 8 2 5 4 8" xfId="26817"/>
    <cellStyle name="常规 8 2 5 5" xfId="26818"/>
    <cellStyle name="常规 8 2 5 5 2" xfId="26819"/>
    <cellStyle name="常规 8 2 5 5 2 2" xfId="26820"/>
    <cellStyle name="常规 8 2 5 5 2 3" xfId="26821"/>
    <cellStyle name="常规 8 2 5 5 2 4" xfId="26822"/>
    <cellStyle name="常规 8 2 5 5 2 5" xfId="26823"/>
    <cellStyle name="常规 8 2 5 5 2 6" xfId="26824"/>
    <cellStyle name="常规 8 2 5 5 3" xfId="26825"/>
    <cellStyle name="常规 8 2 5 5 4" xfId="26826"/>
    <cellStyle name="常规 8 2 5 5 5" xfId="26827"/>
    <cellStyle name="常规 8 2 5 5 6" xfId="26828"/>
    <cellStyle name="常规 8 2 5 5 7" xfId="26829"/>
    <cellStyle name="常规 8 2 5 6" xfId="26830"/>
    <cellStyle name="常规 8 2 5 6 2" xfId="26831"/>
    <cellStyle name="常规 8 2 5 6 2 2" xfId="26832"/>
    <cellStyle name="常规 8 2 5 6 2 3" xfId="26833"/>
    <cellStyle name="常规 8 2 5 6 2 4" xfId="26834"/>
    <cellStyle name="常规 8 2 5 6 2 5" xfId="26835"/>
    <cellStyle name="常规 8 2 5 6 2 6" xfId="26836"/>
    <cellStyle name="常规 8 2 5 6 3" xfId="26837"/>
    <cellStyle name="常规 8 2 5 6 4" xfId="26838"/>
    <cellStyle name="常规 8 2 5 6 5" xfId="26839"/>
    <cellStyle name="常规 8 2 5 6 6" xfId="26840"/>
    <cellStyle name="常规 8 2 5 6 7" xfId="26841"/>
    <cellStyle name="常规 8 2 5 7" xfId="26842"/>
    <cellStyle name="常规 8 2 5 7 2" xfId="26843"/>
    <cellStyle name="常规 8 2 5 7 2 2" xfId="26844"/>
    <cellStyle name="常规 8 2 5 7 2 3" xfId="26845"/>
    <cellStyle name="常规 8 2 5 7 2 4" xfId="26846"/>
    <cellStyle name="常规 8 2 5 7 2 5" xfId="26847"/>
    <cellStyle name="常规 8 2 5 7 2 6" xfId="26848"/>
    <cellStyle name="常规 8 2 5 7 3" xfId="26849"/>
    <cellStyle name="常规 8 2 5 7 4" xfId="26850"/>
    <cellStyle name="常规 8 2 5 7 5" xfId="26851"/>
    <cellStyle name="常规 8 2 5 7 6" xfId="26852"/>
    <cellStyle name="常规 8 2 5 7 7" xfId="26853"/>
    <cellStyle name="常规 8 2 5 8" xfId="26854"/>
    <cellStyle name="常规 8 2 5 8 2" xfId="26855"/>
    <cellStyle name="常规 8 2 5 8 2 2" xfId="26856"/>
    <cellStyle name="常规 8 2 5 8 2 3" xfId="26857"/>
    <cellStyle name="常规 8 2 5 8 2 4" xfId="26858"/>
    <cellStyle name="常规 8 2 5 8 2 5" xfId="26859"/>
    <cellStyle name="常规 8 2 5 8 2 6" xfId="26860"/>
    <cellStyle name="常规 8 2 5 8 3" xfId="26861"/>
    <cellStyle name="常规 8 2 5 8 4" xfId="26862"/>
    <cellStyle name="常规 8 2 5 8 5" xfId="26863"/>
    <cellStyle name="常规 8 2 5 8 6" xfId="26864"/>
    <cellStyle name="常规 8 2 5 8 7" xfId="26865"/>
    <cellStyle name="常规 8 2 5 9" xfId="26866"/>
    <cellStyle name="常规 8 2 5 9 2" xfId="26867"/>
    <cellStyle name="常规 8 2 5 9 2 2" xfId="26868"/>
    <cellStyle name="常规 8 2 5 9 2 3" xfId="26869"/>
    <cellStyle name="常规 8 2 5 9 2 4" xfId="26870"/>
    <cellStyle name="常规 8 2 5 9 2 5" xfId="26871"/>
    <cellStyle name="常规 8 2 5 9 2 6" xfId="26872"/>
    <cellStyle name="常规 8 2 5 9 3" xfId="26873"/>
    <cellStyle name="常规 8 2 5 9 4" xfId="26874"/>
    <cellStyle name="常规 8 2 5 9 5" xfId="26875"/>
    <cellStyle name="常规 8 2 5 9 6" xfId="26876"/>
    <cellStyle name="常规 8 2 5 9 7" xfId="26877"/>
    <cellStyle name="常规 8 2 6" xfId="26878"/>
    <cellStyle name="常规 8 2 6 10" xfId="26879"/>
    <cellStyle name="常规 8 2 6 11" xfId="26880"/>
    <cellStyle name="常规 8 2 6 12" xfId="26881"/>
    <cellStyle name="常规 8 2 6 13" xfId="26882"/>
    <cellStyle name="常规 8 2 6 14" xfId="26883"/>
    <cellStyle name="常规 8 2 6 15" xfId="26884"/>
    <cellStyle name="常规 8 2 6 16" xfId="26885"/>
    <cellStyle name="常规 8 2 6 2" xfId="26886"/>
    <cellStyle name="常规 8 2 6 2 2" xfId="26887"/>
    <cellStyle name="常规 8 2 6 2 2 2" xfId="26888"/>
    <cellStyle name="常规 8 2 6 2 2 3" xfId="26889"/>
    <cellStyle name="常规 8 2 6 2 2 4" xfId="26890"/>
    <cellStyle name="常规 8 2 6 2 2 5" xfId="26891"/>
    <cellStyle name="常规 8 2 6 2 2 6" xfId="26892"/>
    <cellStyle name="常规 8 2 6 2 3" xfId="26893"/>
    <cellStyle name="常规 8 2 6 2 4" xfId="26894"/>
    <cellStyle name="常规 8 2 6 2 5" xfId="26895"/>
    <cellStyle name="常规 8 2 6 2 6" xfId="26896"/>
    <cellStyle name="常规 8 2 6 2 7" xfId="26897"/>
    <cellStyle name="常规 8 2 6 3" xfId="26898"/>
    <cellStyle name="常规 8 2 6 3 2" xfId="26899"/>
    <cellStyle name="常规 8 2 6 3 2 2" xfId="26900"/>
    <cellStyle name="常规 8 2 6 3 2 3" xfId="26901"/>
    <cellStyle name="常规 8 2 6 3 2 4" xfId="26902"/>
    <cellStyle name="常规 8 2 6 3 2 5" xfId="26903"/>
    <cellStyle name="常规 8 2 6 3 2 6" xfId="26904"/>
    <cellStyle name="常规 8 2 6 3 3" xfId="26905"/>
    <cellStyle name="常规 8 2 6 3 4" xfId="26906"/>
    <cellStyle name="常规 8 2 6 3 5" xfId="26907"/>
    <cellStyle name="常规 8 2 6 3 6" xfId="26908"/>
    <cellStyle name="常规 8 2 6 3 7" xfId="26909"/>
    <cellStyle name="常规 8 2 6 4" xfId="26910"/>
    <cellStyle name="常规 8 2 6 4 2" xfId="26911"/>
    <cellStyle name="常规 8 2 6 4 2 2" xfId="26912"/>
    <cellStyle name="常规 8 2 6 4 2 3" xfId="26913"/>
    <cellStyle name="常规 8 2 6 4 2 4" xfId="26914"/>
    <cellStyle name="常规 8 2 6 4 2 5" xfId="26915"/>
    <cellStyle name="常规 8 2 6 4 2 6" xfId="26916"/>
    <cellStyle name="常规 8 2 6 4 3" xfId="26917"/>
    <cellStyle name="常规 8 2 6 4 4" xfId="26918"/>
    <cellStyle name="常规 8 2 6 4 5" xfId="26919"/>
    <cellStyle name="常规 8 2 6 4 6" xfId="26920"/>
    <cellStyle name="常规 8 2 6 4 7" xfId="26921"/>
    <cellStyle name="常规 8 2 6 5" xfId="26922"/>
    <cellStyle name="常规 8 2 6 5 2" xfId="26923"/>
    <cellStyle name="常规 8 2 6 5 2 2" xfId="26924"/>
    <cellStyle name="常规 8 2 6 5 2 3" xfId="26925"/>
    <cellStyle name="常规 8 2 6 5 2 4" xfId="26926"/>
    <cellStyle name="常规 8 2 6 5 2 5" xfId="26927"/>
    <cellStyle name="常规 8 2 6 5 2 6" xfId="26928"/>
    <cellStyle name="常规 8 2 6 5 3" xfId="26929"/>
    <cellStyle name="常规 8 2 6 5 4" xfId="26930"/>
    <cellStyle name="常规 8 2 6 5 5" xfId="26931"/>
    <cellStyle name="常规 8 2 6 5 6" xfId="26932"/>
    <cellStyle name="常规 8 2 6 5 7" xfId="26933"/>
    <cellStyle name="常规 8 2 6 6" xfId="26934"/>
    <cellStyle name="常规 8 2 6 6 2" xfId="26935"/>
    <cellStyle name="常规 8 2 6 6 2 2" xfId="26936"/>
    <cellStyle name="常规 8 2 6 6 2 3" xfId="26937"/>
    <cellStyle name="常规 8 2 6 6 2 4" xfId="26938"/>
    <cellStyle name="常规 8 2 6 6 2 5" xfId="26939"/>
    <cellStyle name="常规 8 2 6 6 2 6" xfId="26940"/>
    <cellStyle name="常规 8 2 6 6 3" xfId="26941"/>
    <cellStyle name="常规 8 2 6 6 4" xfId="26942"/>
    <cellStyle name="常规 8 2 6 6 5" xfId="26943"/>
    <cellStyle name="常规 8 2 6 6 6" xfId="26944"/>
    <cellStyle name="常规 8 2 6 6 7" xfId="26945"/>
    <cellStyle name="常规 8 2 6 7" xfId="26946"/>
    <cellStyle name="常规 8 2 6 7 2" xfId="26947"/>
    <cellStyle name="常规 8 2 6 7 2 2" xfId="26948"/>
    <cellStyle name="常规 8 2 6 7 2 3" xfId="26949"/>
    <cellStyle name="常规 8 2 6 7 2 4" xfId="26950"/>
    <cellStyle name="常规 8 2 6 7 2 5" xfId="26951"/>
    <cellStyle name="常规 8 2 6 7 2 6" xfId="26952"/>
    <cellStyle name="常规 8 2 6 7 3" xfId="26953"/>
    <cellStyle name="常规 8 2 6 7 4" xfId="26954"/>
    <cellStyle name="常规 8 2 6 7 5" xfId="26955"/>
    <cellStyle name="常规 8 2 6 7 6" xfId="26956"/>
    <cellStyle name="常规 8 2 6 7 7" xfId="26957"/>
    <cellStyle name="常规 8 2 6 8" xfId="26958"/>
    <cellStyle name="常规 8 2 6 8 2" xfId="26959"/>
    <cellStyle name="常规 8 2 6 8 2 2" xfId="26960"/>
    <cellStyle name="常规 8 2 6 8 2 3" xfId="26961"/>
    <cellStyle name="常规 8 2 6 8 2 4" xfId="26962"/>
    <cellStyle name="常规 8 2 6 8 2 5" xfId="26963"/>
    <cellStyle name="常规 8 2 6 8 2 6" xfId="26964"/>
    <cellStyle name="常规 8 2 6 8 3" xfId="26965"/>
    <cellStyle name="常规 8 2 6 8 4" xfId="26966"/>
    <cellStyle name="常规 8 2 6 8 5" xfId="26967"/>
    <cellStyle name="常规 8 2 6 8 6" xfId="26968"/>
    <cellStyle name="常规 8 2 6 8 7" xfId="26969"/>
    <cellStyle name="常规 8 2 6 9" xfId="26970"/>
    <cellStyle name="常规 8 2 6 9 2" xfId="26971"/>
    <cellStyle name="常规 8 2 6 9 3" xfId="26972"/>
    <cellStyle name="常规 8 2 6 9 4" xfId="26973"/>
    <cellStyle name="常规 8 2 6 9 5" xfId="26974"/>
    <cellStyle name="常规 8 2 6 9 6" xfId="26975"/>
    <cellStyle name="常规 8 2 7" xfId="26976"/>
    <cellStyle name="常规 8 2 7 10" xfId="26977"/>
    <cellStyle name="常规 8 2 7 11" xfId="26978"/>
    <cellStyle name="常规 8 2 7 12" xfId="26979"/>
    <cellStyle name="常规 8 2 7 13" xfId="26980"/>
    <cellStyle name="常规 8 2 7 14" xfId="26981"/>
    <cellStyle name="常规 8 2 7 2" xfId="26982"/>
    <cellStyle name="常规 8 2 7 2 2" xfId="26983"/>
    <cellStyle name="常规 8 2 7 2 2 2" xfId="26984"/>
    <cellStyle name="常规 8 2 7 2 2 3" xfId="26985"/>
    <cellStyle name="常规 8 2 7 2 2 4" xfId="26986"/>
    <cellStyle name="常规 8 2 7 2 2 5" xfId="26987"/>
    <cellStyle name="常规 8 2 7 2 2 6" xfId="26988"/>
    <cellStyle name="常规 8 2 7 2 3" xfId="26989"/>
    <cellStyle name="常规 8 2 7 2 4" xfId="26990"/>
    <cellStyle name="常规 8 2 7 2 5" xfId="26991"/>
    <cellStyle name="常规 8 2 7 2 6" xfId="26992"/>
    <cellStyle name="常规 8 2 7 2 7" xfId="26993"/>
    <cellStyle name="常规 8 2 7 3" xfId="26994"/>
    <cellStyle name="常规 8 2 7 3 2" xfId="26995"/>
    <cellStyle name="常规 8 2 7 3 2 2" xfId="26996"/>
    <cellStyle name="常规 8 2 7 3 2 3" xfId="26997"/>
    <cellStyle name="常规 8 2 7 3 2 4" xfId="26998"/>
    <cellStyle name="常规 8 2 7 3 2 5" xfId="26999"/>
    <cellStyle name="常规 8 2 7 3 2 6" xfId="27000"/>
    <cellStyle name="常规 8 2 7 3 3" xfId="27001"/>
    <cellStyle name="常规 8 2 7 3 4" xfId="27002"/>
    <cellStyle name="常规 8 2 7 3 5" xfId="27003"/>
    <cellStyle name="常规 8 2 7 3 6" xfId="27004"/>
    <cellStyle name="常规 8 2 7 3 7" xfId="27005"/>
    <cellStyle name="常规 8 2 7 4" xfId="27006"/>
    <cellStyle name="常规 8 2 7 4 2" xfId="27007"/>
    <cellStyle name="常规 8 2 7 4 2 2" xfId="27008"/>
    <cellStyle name="常规 8 2 7 4 2 3" xfId="27009"/>
    <cellStyle name="常规 8 2 7 4 2 4" xfId="27010"/>
    <cellStyle name="常规 8 2 7 4 2 5" xfId="27011"/>
    <cellStyle name="常规 8 2 7 4 2 6" xfId="27012"/>
    <cellStyle name="常规 8 2 7 4 3" xfId="27013"/>
    <cellStyle name="常规 8 2 7 4 4" xfId="27014"/>
    <cellStyle name="常规 8 2 7 4 5" xfId="27015"/>
    <cellStyle name="常规 8 2 7 4 6" xfId="27016"/>
    <cellStyle name="常规 8 2 7 4 7" xfId="27017"/>
    <cellStyle name="常规 8 2 7 5" xfId="27018"/>
    <cellStyle name="常规 8 2 7 5 2" xfId="27019"/>
    <cellStyle name="常规 8 2 7 5 2 2" xfId="27020"/>
    <cellStyle name="常规 8 2 7 5 2 3" xfId="27021"/>
    <cellStyle name="常规 8 2 7 5 2 4" xfId="27022"/>
    <cellStyle name="常规 8 2 7 5 2 5" xfId="27023"/>
    <cellStyle name="常规 8 2 7 5 2 6" xfId="27024"/>
    <cellStyle name="常规 8 2 7 5 3" xfId="27025"/>
    <cellStyle name="常规 8 2 7 5 4" xfId="27026"/>
    <cellStyle name="常规 8 2 7 5 5" xfId="27027"/>
    <cellStyle name="常规 8 2 7 5 6" xfId="27028"/>
    <cellStyle name="常规 8 2 7 5 7" xfId="27029"/>
    <cellStyle name="常规 8 2 7 6" xfId="27030"/>
    <cellStyle name="常规 8 2 7 6 2" xfId="27031"/>
    <cellStyle name="常规 8 2 7 6 2 2" xfId="27032"/>
    <cellStyle name="常规 8 2 7 6 2 3" xfId="27033"/>
    <cellStyle name="常规 8 2 7 6 2 4" xfId="27034"/>
    <cellStyle name="常规 8 2 7 6 2 5" xfId="27035"/>
    <cellStyle name="常规 8 2 7 6 2 6" xfId="27036"/>
    <cellStyle name="常规 8 2 7 6 3" xfId="27037"/>
    <cellStyle name="常规 8 2 7 6 4" xfId="27038"/>
    <cellStyle name="常规 8 2 7 6 5" xfId="27039"/>
    <cellStyle name="常规 8 2 7 6 6" xfId="27040"/>
    <cellStyle name="常规 8 2 7 6 7" xfId="27041"/>
    <cellStyle name="常规 8 2 7 7" xfId="27042"/>
    <cellStyle name="常规 8 2 7 7 2" xfId="27043"/>
    <cellStyle name="常规 8 2 7 7 2 2" xfId="27044"/>
    <cellStyle name="常规 8 2 7 7 2 3" xfId="27045"/>
    <cellStyle name="常规 8 2 7 7 2 4" xfId="27046"/>
    <cellStyle name="常规 8 2 7 7 2 5" xfId="27047"/>
    <cellStyle name="常规 8 2 7 7 2 6" xfId="27048"/>
    <cellStyle name="常规 8 2 7 7 3" xfId="27049"/>
    <cellStyle name="常规 8 2 7 7 4" xfId="27050"/>
    <cellStyle name="常规 8 2 7 7 5" xfId="27051"/>
    <cellStyle name="常规 8 2 7 7 6" xfId="27052"/>
    <cellStyle name="常规 8 2 7 7 7" xfId="27053"/>
    <cellStyle name="常规 8 2 7 8" xfId="27054"/>
    <cellStyle name="常规 8 2 7 8 2" xfId="27055"/>
    <cellStyle name="常规 8 2 7 8 3" xfId="27056"/>
    <cellStyle name="常规 8 2 7 8 4" xfId="27057"/>
    <cellStyle name="常规 8 2 7 8 5" xfId="27058"/>
    <cellStyle name="常规 8 2 7 8 6" xfId="27059"/>
    <cellStyle name="常规 8 2 7 9" xfId="27060"/>
    <cellStyle name="常规 8 2 8" xfId="27061"/>
    <cellStyle name="常规 8 2 8 10" xfId="27062"/>
    <cellStyle name="常规 8 2 8 11" xfId="27063"/>
    <cellStyle name="常规 8 2 8 12" xfId="27064"/>
    <cellStyle name="常规 8 2 8 13" xfId="27065"/>
    <cellStyle name="常规 8 2 8 2" xfId="27066"/>
    <cellStyle name="常规 8 2 8 2 2" xfId="27067"/>
    <cellStyle name="常规 8 2 8 2 2 2" xfId="27068"/>
    <cellStyle name="常规 8 2 8 2 2 3" xfId="27069"/>
    <cellStyle name="常规 8 2 8 2 2 4" xfId="27070"/>
    <cellStyle name="常规 8 2 8 2 2 5" xfId="27071"/>
    <cellStyle name="常规 8 2 8 2 2 6" xfId="27072"/>
    <cellStyle name="常规 8 2 8 2 3" xfId="27073"/>
    <cellStyle name="常规 8 2 8 2 4" xfId="27074"/>
    <cellStyle name="常规 8 2 8 2 5" xfId="27075"/>
    <cellStyle name="常规 8 2 8 2 6" xfId="27076"/>
    <cellStyle name="常规 8 2 8 2 7" xfId="27077"/>
    <cellStyle name="常规 8 2 8 3" xfId="27078"/>
    <cellStyle name="常规 8 2 8 3 2" xfId="27079"/>
    <cellStyle name="常规 8 2 8 3 2 2" xfId="27080"/>
    <cellStyle name="常规 8 2 8 3 2 3" xfId="27081"/>
    <cellStyle name="常规 8 2 8 3 2 4" xfId="27082"/>
    <cellStyle name="常规 8 2 8 3 2 5" xfId="27083"/>
    <cellStyle name="常规 8 2 8 3 2 6" xfId="27084"/>
    <cellStyle name="常规 8 2 8 3 3" xfId="27085"/>
    <cellStyle name="常规 8 2 8 3 4" xfId="27086"/>
    <cellStyle name="常规 8 2 8 3 5" xfId="27087"/>
    <cellStyle name="常规 8 2 8 3 6" xfId="27088"/>
    <cellStyle name="常规 8 2 8 3 7" xfId="27089"/>
    <cellStyle name="常规 8 2 8 4" xfId="27090"/>
    <cellStyle name="常规 8 2 8 4 2" xfId="27091"/>
    <cellStyle name="常规 8 2 8 4 2 2" xfId="27092"/>
    <cellStyle name="常规 8 2 8 4 2 3" xfId="27093"/>
    <cellStyle name="常规 8 2 8 4 2 4" xfId="27094"/>
    <cellStyle name="常规 8 2 8 4 2 5" xfId="27095"/>
    <cellStyle name="常规 8 2 8 4 2 6" xfId="27096"/>
    <cellStyle name="常规 8 2 8 4 3" xfId="27097"/>
    <cellStyle name="常规 8 2 8 4 4" xfId="27098"/>
    <cellStyle name="常规 8 2 8 4 5" xfId="27099"/>
    <cellStyle name="常规 8 2 8 4 6" xfId="27100"/>
    <cellStyle name="常规 8 2 8 4 7" xfId="27101"/>
    <cellStyle name="常规 8 2 8 5" xfId="27102"/>
    <cellStyle name="常规 8 2 8 5 2" xfId="27103"/>
    <cellStyle name="常规 8 2 8 5 2 2" xfId="27104"/>
    <cellStyle name="常规 8 2 8 5 2 3" xfId="27105"/>
    <cellStyle name="常规 8 2 8 5 2 4" xfId="27106"/>
    <cellStyle name="常规 8 2 8 5 2 5" xfId="27107"/>
    <cellStyle name="常规 8 2 8 5 2 6" xfId="27108"/>
    <cellStyle name="常规 8 2 8 5 3" xfId="27109"/>
    <cellStyle name="常规 8 2 8 5 4" xfId="27110"/>
    <cellStyle name="常规 8 2 8 5 5" xfId="27111"/>
    <cellStyle name="常规 8 2 8 5 6" xfId="27112"/>
    <cellStyle name="常规 8 2 8 5 7" xfId="27113"/>
    <cellStyle name="常规 8 2 8 6" xfId="27114"/>
    <cellStyle name="常规 8 2 8 6 2" xfId="27115"/>
    <cellStyle name="常规 8 2 8 6 2 2" xfId="27116"/>
    <cellStyle name="常规 8 2 8 6 2 3" xfId="27117"/>
    <cellStyle name="常规 8 2 8 6 2 4" xfId="27118"/>
    <cellStyle name="常规 8 2 8 6 2 5" xfId="27119"/>
    <cellStyle name="常规 8 2 8 6 2 6" xfId="27120"/>
    <cellStyle name="常规 8 2 8 6 3" xfId="27121"/>
    <cellStyle name="常规 8 2 8 6 4" xfId="27122"/>
    <cellStyle name="常规 8 2 8 6 5" xfId="27123"/>
    <cellStyle name="常规 8 2 8 6 6" xfId="27124"/>
    <cellStyle name="常规 8 2 8 6 7" xfId="27125"/>
    <cellStyle name="常规 8 2 8 7" xfId="27126"/>
    <cellStyle name="常规 8 2 8 7 2" xfId="27127"/>
    <cellStyle name="常规 8 2 8 7 3" xfId="27128"/>
    <cellStyle name="常规 8 2 8 7 4" xfId="27129"/>
    <cellStyle name="常规 8 2 8 7 5" xfId="27130"/>
    <cellStyle name="常规 8 2 8 7 6" xfId="27131"/>
    <cellStyle name="常规 8 2 8 8" xfId="27132"/>
    <cellStyle name="常规 8 2 8 9" xfId="27133"/>
    <cellStyle name="常规 8 2 9" xfId="27134"/>
    <cellStyle name="常规 8 2 9 10" xfId="27135"/>
    <cellStyle name="常规 8 2 9 11" xfId="27136"/>
    <cellStyle name="常规 8 2 9 12" xfId="27137"/>
    <cellStyle name="常规 8 2 9 2" xfId="27138"/>
    <cellStyle name="常规 8 2 9 2 2" xfId="27139"/>
    <cellStyle name="常规 8 2 9 2 2 2" xfId="27140"/>
    <cellStyle name="常规 8 2 9 2 2 3" xfId="27141"/>
    <cellStyle name="常规 8 2 9 2 2 4" xfId="27142"/>
    <cellStyle name="常规 8 2 9 2 2 5" xfId="27143"/>
    <cellStyle name="常规 8 2 9 2 2 6" xfId="27144"/>
    <cellStyle name="常规 8 2 9 2 3" xfId="27145"/>
    <cellStyle name="常规 8 2 9 2 4" xfId="27146"/>
    <cellStyle name="常规 8 2 9 2 5" xfId="27147"/>
    <cellStyle name="常规 8 2 9 2 6" xfId="27148"/>
    <cellStyle name="常规 8 2 9 2 7" xfId="27149"/>
    <cellStyle name="常规 8 2 9 3" xfId="27150"/>
    <cellStyle name="常规 8 2 9 3 2" xfId="27151"/>
    <cellStyle name="常规 8 2 9 3 2 2" xfId="27152"/>
    <cellStyle name="常规 8 2 9 3 2 3" xfId="27153"/>
    <cellStyle name="常规 8 2 9 3 2 4" xfId="27154"/>
    <cellStyle name="常规 8 2 9 3 2 5" xfId="27155"/>
    <cellStyle name="常规 8 2 9 3 2 6" xfId="27156"/>
    <cellStyle name="常规 8 2 9 3 3" xfId="27157"/>
    <cellStyle name="常规 8 2 9 3 4" xfId="27158"/>
    <cellStyle name="常规 8 2 9 3 5" xfId="27159"/>
    <cellStyle name="常规 8 2 9 3 6" xfId="27160"/>
    <cellStyle name="常规 8 2 9 3 7" xfId="27161"/>
    <cellStyle name="常规 8 2 9 4" xfId="27162"/>
    <cellStyle name="常规 8 2 9 4 2" xfId="27163"/>
    <cellStyle name="常规 8 2 9 4 2 2" xfId="27164"/>
    <cellStyle name="常规 8 2 9 4 2 3" xfId="27165"/>
    <cellStyle name="常规 8 2 9 4 2 4" xfId="27166"/>
    <cellStyle name="常规 8 2 9 4 2 5" xfId="27167"/>
    <cellStyle name="常规 8 2 9 4 2 6" xfId="27168"/>
    <cellStyle name="常规 8 2 9 4 3" xfId="27169"/>
    <cellStyle name="常规 8 2 9 4 4" xfId="27170"/>
    <cellStyle name="常规 8 2 9 4 5" xfId="27171"/>
    <cellStyle name="常规 8 2 9 4 6" xfId="27172"/>
    <cellStyle name="常规 8 2 9 4 7" xfId="27173"/>
    <cellStyle name="常规 8 2 9 5" xfId="27174"/>
    <cellStyle name="常规 8 2 9 5 2" xfId="27175"/>
    <cellStyle name="常规 8 2 9 5 2 2" xfId="27176"/>
    <cellStyle name="常规 8 2 9 5 2 3" xfId="27177"/>
    <cellStyle name="常规 8 2 9 5 2 4" xfId="27178"/>
    <cellStyle name="常规 8 2 9 5 2 5" xfId="27179"/>
    <cellStyle name="常规 8 2 9 5 2 6" xfId="27180"/>
    <cellStyle name="常规 8 2 9 5 3" xfId="27181"/>
    <cellStyle name="常规 8 2 9 5 4" xfId="27182"/>
    <cellStyle name="常规 8 2 9 5 5" xfId="27183"/>
    <cellStyle name="常规 8 2 9 5 6" xfId="27184"/>
    <cellStyle name="常规 8 2 9 5 7" xfId="27185"/>
    <cellStyle name="常规 8 2 9 6" xfId="27186"/>
    <cellStyle name="常规 8 2 9 6 2" xfId="27187"/>
    <cellStyle name="常规 8 2 9 6 3" xfId="27188"/>
    <cellStyle name="常规 8 2 9 6 4" xfId="27189"/>
    <cellStyle name="常规 8 2 9 6 5" xfId="27190"/>
    <cellStyle name="常规 8 2 9 6 6" xfId="27191"/>
    <cellStyle name="常规 8 2 9 7" xfId="27192"/>
    <cellStyle name="常规 8 2 9 8" xfId="27193"/>
    <cellStyle name="常规 8 2 9 9" xfId="27194"/>
    <cellStyle name="常规 8 20" xfId="27195"/>
    <cellStyle name="常规 8 20 2" xfId="27196"/>
    <cellStyle name="常规 8 20 2 2" xfId="27197"/>
    <cellStyle name="常规 8 20 2 3" xfId="27198"/>
    <cellStyle name="常规 8 20 2 4" xfId="27199"/>
    <cellStyle name="常规 8 20 2 5" xfId="27200"/>
    <cellStyle name="常规 8 20 2 6" xfId="27201"/>
    <cellStyle name="常规 8 20 3" xfId="27202"/>
    <cellStyle name="常规 8 20 4" xfId="27203"/>
    <cellStyle name="常规 8 20 5" xfId="27204"/>
    <cellStyle name="常规 8 20 6" xfId="27205"/>
    <cellStyle name="常规 8 20 7" xfId="27206"/>
    <cellStyle name="常规 8 21" xfId="27207"/>
    <cellStyle name="常规 8 21 2" xfId="27208"/>
    <cellStyle name="常规 8 21 3" xfId="27209"/>
    <cellStyle name="常规 8 21 4" xfId="27210"/>
    <cellStyle name="常规 8 21 5" xfId="27211"/>
    <cellStyle name="常规 8 21 6" xfId="27212"/>
    <cellStyle name="常规 8 22" xfId="27213"/>
    <cellStyle name="常规 8 22 2" xfId="27214"/>
    <cellStyle name="常规 8 22 3" xfId="27215"/>
    <cellStyle name="常规 8 22 4" xfId="27216"/>
    <cellStyle name="常规 8 22 5" xfId="27217"/>
    <cellStyle name="常规 8 22 6" xfId="27218"/>
    <cellStyle name="常规 8 23" xfId="27219"/>
    <cellStyle name="常规 8 24" xfId="27220"/>
    <cellStyle name="常规 8 25" xfId="27221"/>
    <cellStyle name="常规 8 26" xfId="27222"/>
    <cellStyle name="常规 8 27" xfId="27223"/>
    <cellStyle name="常规 8 28" xfId="27224"/>
    <cellStyle name="常规 8 29" xfId="27225"/>
    <cellStyle name="常规 8 3" xfId="27226"/>
    <cellStyle name="常规 8 3 10" xfId="27227"/>
    <cellStyle name="常规 8 3 10 2" xfId="27228"/>
    <cellStyle name="常规 8 3 10 2 2" xfId="27229"/>
    <cellStyle name="常规 8 3 10 2 2 2" xfId="27230"/>
    <cellStyle name="常规 8 3 10 2 2 3" xfId="27231"/>
    <cellStyle name="常规 8 3 10 2 2 4" xfId="27232"/>
    <cellStyle name="常规 8 3 10 2 2 5" xfId="27233"/>
    <cellStyle name="常规 8 3 10 2 2 6" xfId="27234"/>
    <cellStyle name="常规 8 3 10 2 3" xfId="27235"/>
    <cellStyle name="常规 8 3 10 2 4" xfId="27236"/>
    <cellStyle name="常规 8 3 10 2 5" xfId="27237"/>
    <cellStyle name="常规 8 3 10 2 6" xfId="27238"/>
    <cellStyle name="常规 8 3 10 2 7" xfId="27239"/>
    <cellStyle name="常规 8 3 10 3" xfId="27240"/>
    <cellStyle name="常规 8 3 10 3 2" xfId="27241"/>
    <cellStyle name="常规 8 3 10 3 2 2" xfId="27242"/>
    <cellStyle name="常规 8 3 10 3 2 3" xfId="27243"/>
    <cellStyle name="常规 8 3 10 3 2 4" xfId="27244"/>
    <cellStyle name="常规 8 3 10 3 2 5" xfId="27245"/>
    <cellStyle name="常规 8 3 10 3 2 6" xfId="27246"/>
    <cellStyle name="常规 8 3 10 3 3" xfId="27247"/>
    <cellStyle name="常规 8 3 10 3 4" xfId="27248"/>
    <cellStyle name="常规 8 3 10 3 5" xfId="27249"/>
    <cellStyle name="常规 8 3 10 3 6" xfId="27250"/>
    <cellStyle name="常规 8 3 10 3 7" xfId="27251"/>
    <cellStyle name="常规 8 3 10 4" xfId="27252"/>
    <cellStyle name="常规 8 3 10 4 2" xfId="27253"/>
    <cellStyle name="常规 8 3 10 4 3" xfId="27254"/>
    <cellStyle name="常规 8 3 10 4 4" xfId="27255"/>
    <cellStyle name="常规 8 3 10 4 5" xfId="27256"/>
    <cellStyle name="常规 8 3 10 4 6" xfId="27257"/>
    <cellStyle name="常规 8 3 10 5" xfId="27258"/>
    <cellStyle name="常规 8 3 10 6" xfId="27259"/>
    <cellStyle name="常规 8 3 10 7" xfId="27260"/>
    <cellStyle name="常规 8 3 10 8" xfId="27261"/>
    <cellStyle name="常规 8 3 10 9" xfId="27262"/>
    <cellStyle name="常规 8 3 11" xfId="27263"/>
    <cellStyle name="常规 8 3 11 2" xfId="27264"/>
    <cellStyle name="常规 8 3 11 2 2" xfId="27265"/>
    <cellStyle name="常规 8 3 11 2 2 2" xfId="27266"/>
    <cellStyle name="常规 8 3 11 2 2 3" xfId="27267"/>
    <cellStyle name="常规 8 3 11 2 2 4" xfId="27268"/>
    <cellStyle name="常规 8 3 11 2 2 5" xfId="27269"/>
    <cellStyle name="常规 8 3 11 2 2 6" xfId="27270"/>
    <cellStyle name="常规 8 3 11 2 3" xfId="27271"/>
    <cellStyle name="常规 8 3 11 2 4" xfId="27272"/>
    <cellStyle name="常规 8 3 11 2 5" xfId="27273"/>
    <cellStyle name="常规 8 3 11 2 6" xfId="27274"/>
    <cellStyle name="常规 8 3 11 2 7" xfId="27275"/>
    <cellStyle name="常规 8 3 11 3" xfId="27276"/>
    <cellStyle name="常规 8 3 11 3 2" xfId="27277"/>
    <cellStyle name="常规 8 3 11 3 3" xfId="27278"/>
    <cellStyle name="常规 8 3 11 3 4" xfId="27279"/>
    <cellStyle name="常规 8 3 11 3 5" xfId="27280"/>
    <cellStyle name="常规 8 3 11 3 6" xfId="27281"/>
    <cellStyle name="常规 8 3 11 4" xfId="27282"/>
    <cellStyle name="常规 8 3 11 5" xfId="27283"/>
    <cellStyle name="常规 8 3 11 6" xfId="27284"/>
    <cellStyle name="常规 8 3 11 7" xfId="27285"/>
    <cellStyle name="常规 8 3 11 8" xfId="27286"/>
    <cellStyle name="常规 8 3 12" xfId="27287"/>
    <cellStyle name="常规 8 3 12 2" xfId="27288"/>
    <cellStyle name="常规 8 3 12 2 2" xfId="27289"/>
    <cellStyle name="常规 8 3 12 2 2 2" xfId="27290"/>
    <cellStyle name="常规 8 3 12 2 2 3" xfId="27291"/>
    <cellStyle name="常规 8 3 12 2 2 4" xfId="27292"/>
    <cellStyle name="常规 8 3 12 2 2 5" xfId="27293"/>
    <cellStyle name="常规 8 3 12 2 2 6" xfId="27294"/>
    <cellStyle name="常规 8 3 12 2 3" xfId="27295"/>
    <cellStyle name="常规 8 3 12 2 4" xfId="27296"/>
    <cellStyle name="常规 8 3 12 2 5" xfId="27297"/>
    <cellStyle name="常规 8 3 12 2 6" xfId="27298"/>
    <cellStyle name="常规 8 3 12 2 7" xfId="27299"/>
    <cellStyle name="常规 8 3 12 3" xfId="27300"/>
    <cellStyle name="常规 8 3 12 3 2" xfId="27301"/>
    <cellStyle name="常规 8 3 12 3 3" xfId="27302"/>
    <cellStyle name="常规 8 3 12 3 4" xfId="27303"/>
    <cellStyle name="常规 8 3 12 3 5" xfId="27304"/>
    <cellStyle name="常规 8 3 12 3 6" xfId="27305"/>
    <cellStyle name="常规 8 3 12 4" xfId="27306"/>
    <cellStyle name="常规 8 3 12 5" xfId="27307"/>
    <cellStyle name="常规 8 3 12 6" xfId="27308"/>
    <cellStyle name="常规 8 3 12 7" xfId="27309"/>
    <cellStyle name="常规 8 3 12 8" xfId="27310"/>
    <cellStyle name="常规 8 3 13" xfId="27311"/>
    <cellStyle name="常规 8 3 13 2" xfId="27312"/>
    <cellStyle name="常规 8 3 13 2 2" xfId="27313"/>
    <cellStyle name="常规 8 3 13 2 2 2" xfId="27314"/>
    <cellStyle name="常规 8 3 13 2 2 3" xfId="27315"/>
    <cellStyle name="常规 8 3 13 2 2 4" xfId="27316"/>
    <cellStyle name="常规 8 3 13 2 2 5" xfId="27317"/>
    <cellStyle name="常规 8 3 13 2 2 6" xfId="27318"/>
    <cellStyle name="常规 8 3 13 2 3" xfId="27319"/>
    <cellStyle name="常规 8 3 13 2 4" xfId="27320"/>
    <cellStyle name="常规 8 3 13 2 5" xfId="27321"/>
    <cellStyle name="常规 8 3 13 2 6" xfId="27322"/>
    <cellStyle name="常规 8 3 13 2 7" xfId="27323"/>
    <cellStyle name="常规 8 3 13 3" xfId="27324"/>
    <cellStyle name="常规 8 3 13 3 2" xfId="27325"/>
    <cellStyle name="常规 8 3 13 3 3" xfId="27326"/>
    <cellStyle name="常规 8 3 13 3 4" xfId="27327"/>
    <cellStyle name="常规 8 3 13 3 5" xfId="27328"/>
    <cellStyle name="常规 8 3 13 3 6" xfId="27329"/>
    <cellStyle name="常规 8 3 13 4" xfId="27330"/>
    <cellStyle name="常规 8 3 13 5" xfId="27331"/>
    <cellStyle name="常规 8 3 13 6" xfId="27332"/>
    <cellStyle name="常规 8 3 13 7" xfId="27333"/>
    <cellStyle name="常规 8 3 13 8" xfId="27334"/>
    <cellStyle name="常规 8 3 14" xfId="27335"/>
    <cellStyle name="常规 8 3 14 2" xfId="27336"/>
    <cellStyle name="常规 8 3 14 2 2" xfId="27337"/>
    <cellStyle name="常规 8 3 14 2 2 2" xfId="27338"/>
    <cellStyle name="常规 8 3 14 2 2 3" xfId="27339"/>
    <cellStyle name="常规 8 3 14 2 2 4" xfId="27340"/>
    <cellStyle name="常规 8 3 14 2 2 5" xfId="27341"/>
    <cellStyle name="常规 8 3 14 2 2 6" xfId="27342"/>
    <cellStyle name="常规 8 3 14 2 3" xfId="27343"/>
    <cellStyle name="常规 8 3 14 2 4" xfId="27344"/>
    <cellStyle name="常规 8 3 14 2 5" xfId="27345"/>
    <cellStyle name="常规 8 3 14 2 6" xfId="27346"/>
    <cellStyle name="常规 8 3 14 2 7" xfId="27347"/>
    <cellStyle name="常规 8 3 14 3" xfId="27348"/>
    <cellStyle name="常规 8 3 14 3 2" xfId="27349"/>
    <cellStyle name="常规 8 3 14 3 3" xfId="27350"/>
    <cellStyle name="常规 8 3 14 3 4" xfId="27351"/>
    <cellStyle name="常规 8 3 14 3 5" xfId="27352"/>
    <cellStyle name="常规 8 3 14 3 6" xfId="27353"/>
    <cellStyle name="常规 8 3 14 4" xfId="27354"/>
    <cellStyle name="常规 8 3 14 5" xfId="27355"/>
    <cellStyle name="常规 8 3 14 6" xfId="27356"/>
    <cellStyle name="常规 8 3 14 7" xfId="27357"/>
    <cellStyle name="常规 8 3 14 8" xfId="27358"/>
    <cellStyle name="常规 8 3 15" xfId="27359"/>
    <cellStyle name="常规 8 3 15 2" xfId="27360"/>
    <cellStyle name="常规 8 3 15 2 2" xfId="27361"/>
    <cellStyle name="常规 8 3 15 2 3" xfId="27362"/>
    <cellStyle name="常规 8 3 15 2 4" xfId="27363"/>
    <cellStyle name="常规 8 3 15 2 5" xfId="27364"/>
    <cellStyle name="常规 8 3 15 2 6" xfId="27365"/>
    <cellStyle name="常规 8 3 15 3" xfId="27366"/>
    <cellStyle name="常规 8 3 15 4" xfId="27367"/>
    <cellStyle name="常规 8 3 15 5" xfId="27368"/>
    <cellStyle name="常规 8 3 15 6" xfId="27369"/>
    <cellStyle name="常规 8 3 15 7" xfId="27370"/>
    <cellStyle name="常规 8 3 16" xfId="27371"/>
    <cellStyle name="常规 8 3 16 2" xfId="27372"/>
    <cellStyle name="常规 8 3 16 2 2" xfId="27373"/>
    <cellStyle name="常规 8 3 16 2 3" xfId="27374"/>
    <cellStyle name="常规 8 3 16 2 4" xfId="27375"/>
    <cellStyle name="常规 8 3 16 2 5" xfId="27376"/>
    <cellStyle name="常规 8 3 16 2 6" xfId="27377"/>
    <cellStyle name="常规 8 3 16 3" xfId="27378"/>
    <cellStyle name="常规 8 3 16 4" xfId="27379"/>
    <cellStyle name="常规 8 3 16 5" xfId="27380"/>
    <cellStyle name="常规 8 3 16 6" xfId="27381"/>
    <cellStyle name="常规 8 3 16 7" xfId="27382"/>
    <cellStyle name="常规 8 3 17" xfId="27383"/>
    <cellStyle name="常规 8 3 17 2" xfId="27384"/>
    <cellStyle name="常规 8 3 17 2 2" xfId="27385"/>
    <cellStyle name="常规 8 3 17 2 3" xfId="27386"/>
    <cellStyle name="常规 8 3 17 2 4" xfId="27387"/>
    <cellStyle name="常规 8 3 17 2 5" xfId="27388"/>
    <cellStyle name="常规 8 3 17 2 6" xfId="27389"/>
    <cellStyle name="常规 8 3 17 3" xfId="27390"/>
    <cellStyle name="常规 8 3 17 4" xfId="27391"/>
    <cellStyle name="常规 8 3 17 5" xfId="27392"/>
    <cellStyle name="常规 8 3 17 6" xfId="27393"/>
    <cellStyle name="常规 8 3 17 7" xfId="27394"/>
    <cellStyle name="常规 8 3 18" xfId="27395"/>
    <cellStyle name="常规 8 3 18 2" xfId="27396"/>
    <cellStyle name="常规 8 3 18 3" xfId="27397"/>
    <cellStyle name="常规 8 3 18 4" xfId="27398"/>
    <cellStyle name="常规 8 3 18 5" xfId="27399"/>
    <cellStyle name="常规 8 3 18 6" xfId="27400"/>
    <cellStyle name="常规 8 3 19" xfId="27401"/>
    <cellStyle name="常规 8 3 2" xfId="27402"/>
    <cellStyle name="常规 8 3 2 10" xfId="27403"/>
    <cellStyle name="常规 8 3 2 10 2" xfId="27404"/>
    <cellStyle name="常规 8 3 2 10 2 2" xfId="27405"/>
    <cellStyle name="常规 8 3 2 10 2 3" xfId="27406"/>
    <cellStyle name="常规 8 3 2 10 2 4" xfId="27407"/>
    <cellStyle name="常规 8 3 2 10 2 5" xfId="27408"/>
    <cellStyle name="常规 8 3 2 10 2 6" xfId="27409"/>
    <cellStyle name="常规 8 3 2 10 3" xfId="27410"/>
    <cellStyle name="常规 8 3 2 10 4" xfId="27411"/>
    <cellStyle name="常规 8 3 2 10 5" xfId="27412"/>
    <cellStyle name="常规 8 3 2 10 6" xfId="27413"/>
    <cellStyle name="常规 8 3 2 10 7" xfId="27414"/>
    <cellStyle name="常规 8 3 2 11" xfId="27415"/>
    <cellStyle name="常规 8 3 2 11 2" xfId="27416"/>
    <cellStyle name="常规 8 3 2 11 2 2" xfId="27417"/>
    <cellStyle name="常规 8 3 2 11 2 3" xfId="27418"/>
    <cellStyle name="常规 8 3 2 11 2 4" xfId="27419"/>
    <cellStyle name="常规 8 3 2 11 2 5" xfId="27420"/>
    <cellStyle name="常规 8 3 2 11 2 6" xfId="27421"/>
    <cellStyle name="常规 8 3 2 11 3" xfId="27422"/>
    <cellStyle name="常规 8 3 2 11 4" xfId="27423"/>
    <cellStyle name="常规 8 3 2 11 5" xfId="27424"/>
    <cellStyle name="常规 8 3 2 11 6" xfId="27425"/>
    <cellStyle name="常规 8 3 2 11 7" xfId="27426"/>
    <cellStyle name="常规 8 3 2 12" xfId="27427"/>
    <cellStyle name="常规 8 3 2 12 2" xfId="27428"/>
    <cellStyle name="常规 8 3 2 12 3" xfId="27429"/>
    <cellStyle name="常规 8 3 2 12 4" xfId="27430"/>
    <cellStyle name="常规 8 3 2 12 5" xfId="27431"/>
    <cellStyle name="常规 8 3 2 12 6" xfId="27432"/>
    <cellStyle name="常规 8 3 2 13" xfId="27433"/>
    <cellStyle name="常规 8 3 2 14" xfId="27434"/>
    <cellStyle name="常规 8 3 2 15" xfId="27435"/>
    <cellStyle name="常规 8 3 2 16" xfId="27436"/>
    <cellStyle name="常规 8 3 2 17" xfId="27437"/>
    <cellStyle name="常规 8 3 2 18" xfId="27438"/>
    <cellStyle name="常规 8 3 2 2" xfId="27439"/>
    <cellStyle name="常规 8 3 2 2 2" xfId="27440"/>
    <cellStyle name="常规 8 3 2 2 2 2" xfId="27441"/>
    <cellStyle name="常规 8 3 2 2 2 2 2" xfId="27442"/>
    <cellStyle name="常规 8 3 2 2 2 3" xfId="27443"/>
    <cellStyle name="常规 8 3 2 2 2 4" xfId="27444"/>
    <cellStyle name="常规 8 3 2 2 3" xfId="27445"/>
    <cellStyle name="常规 8 3 2 2 3 2" xfId="27446"/>
    <cellStyle name="常规 8 3 2 2 4" xfId="27447"/>
    <cellStyle name="常规 8 3 2 2 5" xfId="27448"/>
    <cellStyle name="常规 8 3 2 2 6" xfId="27449"/>
    <cellStyle name="常规 8 3 2 3" xfId="27450"/>
    <cellStyle name="常规 8 3 2 3 2" xfId="27451"/>
    <cellStyle name="常规 8 3 2 3 2 2" xfId="27452"/>
    <cellStyle name="常规 8 3 2 3 2 3" xfId="27453"/>
    <cellStyle name="常规 8 3 2 3 2 4" xfId="27454"/>
    <cellStyle name="常规 8 3 2 3 2 5" xfId="27455"/>
    <cellStyle name="常规 8 3 2 3 2 6" xfId="27456"/>
    <cellStyle name="常规 8 3 2 3 2 7" xfId="27457"/>
    <cellStyle name="常规 8 3 2 3 2 8" xfId="27458"/>
    <cellStyle name="常规 8 3 2 3 3" xfId="27459"/>
    <cellStyle name="常规 8 3 2 3 3 2" xfId="27460"/>
    <cellStyle name="常规 8 3 2 3 4" xfId="27461"/>
    <cellStyle name="常规 8 3 2 3 4 2" xfId="27462"/>
    <cellStyle name="常规 8 3 2 3 5" xfId="27463"/>
    <cellStyle name="常规 8 3 2 3 6" xfId="27464"/>
    <cellStyle name="常规 8 3 2 3 7" xfId="27465"/>
    <cellStyle name="常规 8 3 2 3 8" xfId="27466"/>
    <cellStyle name="常规 8 3 2 4" xfId="27467"/>
    <cellStyle name="常规 8 3 2 4 2" xfId="27468"/>
    <cellStyle name="常规 8 3 2 4 2 2" xfId="27469"/>
    <cellStyle name="常规 8 3 2 4 2 3" xfId="27470"/>
    <cellStyle name="常规 8 3 2 4 2 4" xfId="27471"/>
    <cellStyle name="常规 8 3 2 4 2 5" xfId="27472"/>
    <cellStyle name="常规 8 3 2 4 2 6" xfId="27473"/>
    <cellStyle name="常规 8 3 2 4 3" xfId="27474"/>
    <cellStyle name="常规 8 3 2 4 4" xfId="27475"/>
    <cellStyle name="常规 8 3 2 4 5" xfId="27476"/>
    <cellStyle name="常规 8 3 2 4 6" xfId="27477"/>
    <cellStyle name="常规 8 3 2 4 7" xfId="27478"/>
    <cellStyle name="常规 8 3 2 4 8" xfId="27479"/>
    <cellStyle name="常规 8 3 2 4 9" xfId="27480"/>
    <cellStyle name="常规 8 3 2 5" xfId="27481"/>
    <cellStyle name="常规 8 3 2 5 2" xfId="27482"/>
    <cellStyle name="常规 8 3 2 5 2 2" xfId="27483"/>
    <cellStyle name="常规 8 3 2 5 2 3" xfId="27484"/>
    <cellStyle name="常规 8 3 2 5 2 4" xfId="27485"/>
    <cellStyle name="常规 8 3 2 5 2 5" xfId="27486"/>
    <cellStyle name="常规 8 3 2 5 2 6" xfId="27487"/>
    <cellStyle name="常规 8 3 2 5 3" xfId="27488"/>
    <cellStyle name="常规 8 3 2 5 4" xfId="27489"/>
    <cellStyle name="常规 8 3 2 5 5" xfId="27490"/>
    <cellStyle name="常规 8 3 2 5 6" xfId="27491"/>
    <cellStyle name="常规 8 3 2 5 7" xfId="27492"/>
    <cellStyle name="常规 8 3 2 5 8" xfId="27493"/>
    <cellStyle name="常规 8 3 2 6" xfId="27494"/>
    <cellStyle name="常规 8 3 2 6 2" xfId="27495"/>
    <cellStyle name="常规 8 3 2 6 2 2" xfId="27496"/>
    <cellStyle name="常规 8 3 2 6 2 3" xfId="27497"/>
    <cellStyle name="常规 8 3 2 6 2 4" xfId="27498"/>
    <cellStyle name="常规 8 3 2 6 2 5" xfId="27499"/>
    <cellStyle name="常规 8 3 2 6 2 6" xfId="27500"/>
    <cellStyle name="常规 8 3 2 6 3" xfId="27501"/>
    <cellStyle name="常规 8 3 2 6 4" xfId="27502"/>
    <cellStyle name="常规 8 3 2 6 5" xfId="27503"/>
    <cellStyle name="常规 8 3 2 6 6" xfId="27504"/>
    <cellStyle name="常规 8 3 2 6 7" xfId="27505"/>
    <cellStyle name="常规 8 3 2 6 8" xfId="27506"/>
    <cellStyle name="常规 8 3 2 7" xfId="27507"/>
    <cellStyle name="常规 8 3 2 7 2" xfId="27508"/>
    <cellStyle name="常规 8 3 2 7 2 2" xfId="27509"/>
    <cellStyle name="常规 8 3 2 7 2 3" xfId="27510"/>
    <cellStyle name="常规 8 3 2 7 2 4" xfId="27511"/>
    <cellStyle name="常规 8 3 2 7 2 5" xfId="27512"/>
    <cellStyle name="常规 8 3 2 7 2 6" xfId="27513"/>
    <cellStyle name="常规 8 3 2 7 3" xfId="27514"/>
    <cellStyle name="常规 8 3 2 7 4" xfId="27515"/>
    <cellStyle name="常规 8 3 2 7 5" xfId="27516"/>
    <cellStyle name="常规 8 3 2 7 6" xfId="27517"/>
    <cellStyle name="常规 8 3 2 7 7" xfId="27518"/>
    <cellStyle name="常规 8 3 2 8" xfId="27519"/>
    <cellStyle name="常规 8 3 2 8 2" xfId="27520"/>
    <cellStyle name="常规 8 3 2 8 2 2" xfId="27521"/>
    <cellStyle name="常规 8 3 2 8 2 3" xfId="27522"/>
    <cellStyle name="常规 8 3 2 8 2 4" xfId="27523"/>
    <cellStyle name="常规 8 3 2 8 2 5" xfId="27524"/>
    <cellStyle name="常规 8 3 2 8 2 6" xfId="27525"/>
    <cellStyle name="常规 8 3 2 8 3" xfId="27526"/>
    <cellStyle name="常规 8 3 2 8 4" xfId="27527"/>
    <cellStyle name="常规 8 3 2 8 5" xfId="27528"/>
    <cellStyle name="常规 8 3 2 8 6" xfId="27529"/>
    <cellStyle name="常规 8 3 2 8 7" xfId="27530"/>
    <cellStyle name="常规 8 3 2 9" xfId="27531"/>
    <cellStyle name="常规 8 3 2 9 2" xfId="27532"/>
    <cellStyle name="常规 8 3 2 9 2 2" xfId="27533"/>
    <cellStyle name="常规 8 3 2 9 2 3" xfId="27534"/>
    <cellStyle name="常规 8 3 2 9 2 4" xfId="27535"/>
    <cellStyle name="常规 8 3 2 9 2 5" xfId="27536"/>
    <cellStyle name="常规 8 3 2 9 2 6" xfId="27537"/>
    <cellStyle name="常规 8 3 2 9 3" xfId="27538"/>
    <cellStyle name="常规 8 3 2 9 4" xfId="27539"/>
    <cellStyle name="常规 8 3 2 9 5" xfId="27540"/>
    <cellStyle name="常规 8 3 2 9 6" xfId="27541"/>
    <cellStyle name="常规 8 3 2 9 7" xfId="27542"/>
    <cellStyle name="常规 8 3 20" xfId="27543"/>
    <cellStyle name="常规 8 3 21" xfId="27544"/>
    <cellStyle name="常规 8 3 22" xfId="27545"/>
    <cellStyle name="常规 8 3 23" xfId="27546"/>
    <cellStyle name="常规 8 3 24" xfId="27547"/>
    <cellStyle name="常规 8 3 25" xfId="27548"/>
    <cellStyle name="常规 8 3 3" xfId="27549"/>
    <cellStyle name="常规 8 3 3 10" xfId="27550"/>
    <cellStyle name="常规 8 3 3 10 2" xfId="27551"/>
    <cellStyle name="常规 8 3 3 10 3" xfId="27552"/>
    <cellStyle name="常规 8 3 3 10 4" xfId="27553"/>
    <cellStyle name="常规 8 3 3 10 5" xfId="27554"/>
    <cellStyle name="常规 8 3 3 10 6" xfId="27555"/>
    <cellStyle name="常规 8 3 3 11" xfId="27556"/>
    <cellStyle name="常规 8 3 3 12" xfId="27557"/>
    <cellStyle name="常规 8 3 3 13" xfId="27558"/>
    <cellStyle name="常规 8 3 3 14" xfId="27559"/>
    <cellStyle name="常规 8 3 3 15" xfId="27560"/>
    <cellStyle name="常规 8 3 3 16" xfId="27561"/>
    <cellStyle name="常规 8 3 3 2" xfId="27562"/>
    <cellStyle name="常规 8 3 3 2 2" xfId="27563"/>
    <cellStyle name="常规 8 3 3 2 2 2" xfId="27564"/>
    <cellStyle name="常规 8 3 3 2 2 3" xfId="27565"/>
    <cellStyle name="常规 8 3 3 2 2 4" xfId="27566"/>
    <cellStyle name="常规 8 3 3 2 2 5" xfId="27567"/>
    <cellStyle name="常规 8 3 3 2 2 6" xfId="27568"/>
    <cellStyle name="常规 8 3 3 2 2 7" xfId="27569"/>
    <cellStyle name="常规 8 3 3 2 2 8" xfId="27570"/>
    <cellStyle name="常规 8 3 3 2 3" xfId="27571"/>
    <cellStyle name="常规 8 3 3 2 3 2" xfId="27572"/>
    <cellStyle name="常规 8 3 3 2 4" xfId="27573"/>
    <cellStyle name="常规 8 3 3 2 4 2" xfId="27574"/>
    <cellStyle name="常规 8 3 3 2 5" xfId="27575"/>
    <cellStyle name="常规 8 3 3 2 6" xfId="27576"/>
    <cellStyle name="常规 8 3 3 2 7" xfId="27577"/>
    <cellStyle name="常规 8 3 3 2 8" xfId="27578"/>
    <cellStyle name="常规 8 3 3 3" xfId="27579"/>
    <cellStyle name="常规 8 3 3 3 2" xfId="27580"/>
    <cellStyle name="常规 8 3 3 3 2 2" xfId="27581"/>
    <cellStyle name="常规 8 3 3 3 2 3" xfId="27582"/>
    <cellStyle name="常规 8 3 3 3 2 4" xfId="27583"/>
    <cellStyle name="常规 8 3 3 3 2 5" xfId="27584"/>
    <cellStyle name="常规 8 3 3 3 2 6" xfId="27585"/>
    <cellStyle name="常规 8 3 3 3 2 7" xfId="27586"/>
    <cellStyle name="常规 8 3 3 3 2 8" xfId="27587"/>
    <cellStyle name="常规 8 3 3 3 3" xfId="27588"/>
    <cellStyle name="常规 8 3 3 3 3 2" xfId="27589"/>
    <cellStyle name="常规 8 3 3 3 4" xfId="27590"/>
    <cellStyle name="常规 8 3 3 3 4 2" xfId="27591"/>
    <cellStyle name="常规 8 3 3 3 5" xfId="27592"/>
    <cellStyle name="常规 8 3 3 3 6" xfId="27593"/>
    <cellStyle name="常规 8 3 3 3 7" xfId="27594"/>
    <cellStyle name="常规 8 3 3 3 8" xfId="27595"/>
    <cellStyle name="常规 8 3 3 4" xfId="27596"/>
    <cellStyle name="常规 8 3 3 4 2" xfId="27597"/>
    <cellStyle name="常规 8 3 3 4 2 2" xfId="27598"/>
    <cellStyle name="常规 8 3 3 4 2 3" xfId="27599"/>
    <cellStyle name="常规 8 3 3 4 2 4" xfId="27600"/>
    <cellStyle name="常规 8 3 3 4 2 5" xfId="27601"/>
    <cellStyle name="常规 8 3 3 4 2 6" xfId="27602"/>
    <cellStyle name="常规 8 3 3 4 3" xfId="27603"/>
    <cellStyle name="常规 8 3 3 4 4" xfId="27604"/>
    <cellStyle name="常规 8 3 3 4 5" xfId="27605"/>
    <cellStyle name="常规 8 3 3 4 6" xfId="27606"/>
    <cellStyle name="常规 8 3 3 4 7" xfId="27607"/>
    <cellStyle name="常规 8 3 3 4 8" xfId="27608"/>
    <cellStyle name="常规 8 3 3 4 9" xfId="27609"/>
    <cellStyle name="常规 8 3 3 5" xfId="27610"/>
    <cellStyle name="常规 8 3 3 5 2" xfId="27611"/>
    <cellStyle name="常规 8 3 3 5 2 2" xfId="27612"/>
    <cellStyle name="常规 8 3 3 5 2 3" xfId="27613"/>
    <cellStyle name="常规 8 3 3 5 2 4" xfId="27614"/>
    <cellStyle name="常规 8 3 3 5 2 5" xfId="27615"/>
    <cellStyle name="常规 8 3 3 5 2 6" xfId="27616"/>
    <cellStyle name="常规 8 3 3 5 3" xfId="27617"/>
    <cellStyle name="常规 8 3 3 5 4" xfId="27618"/>
    <cellStyle name="常规 8 3 3 5 5" xfId="27619"/>
    <cellStyle name="常规 8 3 3 5 6" xfId="27620"/>
    <cellStyle name="常规 8 3 3 5 7" xfId="27621"/>
    <cellStyle name="常规 8 3 3 5 8" xfId="27622"/>
    <cellStyle name="常规 8 3 3 6" xfId="27623"/>
    <cellStyle name="常规 8 3 3 6 2" xfId="27624"/>
    <cellStyle name="常规 8 3 3 6 2 2" xfId="27625"/>
    <cellStyle name="常规 8 3 3 6 2 3" xfId="27626"/>
    <cellStyle name="常规 8 3 3 6 2 4" xfId="27627"/>
    <cellStyle name="常规 8 3 3 6 2 5" xfId="27628"/>
    <cellStyle name="常规 8 3 3 6 2 6" xfId="27629"/>
    <cellStyle name="常规 8 3 3 6 3" xfId="27630"/>
    <cellStyle name="常规 8 3 3 6 4" xfId="27631"/>
    <cellStyle name="常规 8 3 3 6 5" xfId="27632"/>
    <cellStyle name="常规 8 3 3 6 6" xfId="27633"/>
    <cellStyle name="常规 8 3 3 6 7" xfId="27634"/>
    <cellStyle name="常规 8 3 3 6 8" xfId="27635"/>
    <cellStyle name="常规 8 3 3 7" xfId="27636"/>
    <cellStyle name="常规 8 3 3 7 2" xfId="27637"/>
    <cellStyle name="常规 8 3 3 7 2 2" xfId="27638"/>
    <cellStyle name="常规 8 3 3 7 2 3" xfId="27639"/>
    <cellStyle name="常规 8 3 3 7 2 4" xfId="27640"/>
    <cellStyle name="常规 8 3 3 7 2 5" xfId="27641"/>
    <cellStyle name="常规 8 3 3 7 2 6" xfId="27642"/>
    <cellStyle name="常规 8 3 3 7 3" xfId="27643"/>
    <cellStyle name="常规 8 3 3 7 4" xfId="27644"/>
    <cellStyle name="常规 8 3 3 7 5" xfId="27645"/>
    <cellStyle name="常规 8 3 3 7 6" xfId="27646"/>
    <cellStyle name="常规 8 3 3 7 7" xfId="27647"/>
    <cellStyle name="常规 8 3 3 8" xfId="27648"/>
    <cellStyle name="常规 8 3 3 8 2" xfId="27649"/>
    <cellStyle name="常规 8 3 3 8 2 2" xfId="27650"/>
    <cellStyle name="常规 8 3 3 8 2 3" xfId="27651"/>
    <cellStyle name="常规 8 3 3 8 2 4" xfId="27652"/>
    <cellStyle name="常规 8 3 3 8 2 5" xfId="27653"/>
    <cellStyle name="常规 8 3 3 8 2 6" xfId="27654"/>
    <cellStyle name="常规 8 3 3 8 3" xfId="27655"/>
    <cellStyle name="常规 8 3 3 8 4" xfId="27656"/>
    <cellStyle name="常规 8 3 3 8 5" xfId="27657"/>
    <cellStyle name="常规 8 3 3 8 6" xfId="27658"/>
    <cellStyle name="常规 8 3 3 8 7" xfId="27659"/>
    <cellStyle name="常规 8 3 3 9" xfId="27660"/>
    <cellStyle name="常规 8 3 3 9 2" xfId="27661"/>
    <cellStyle name="常规 8 3 3 9 2 2" xfId="27662"/>
    <cellStyle name="常规 8 3 3 9 2 3" xfId="27663"/>
    <cellStyle name="常规 8 3 3 9 2 4" xfId="27664"/>
    <cellStyle name="常规 8 3 3 9 2 5" xfId="27665"/>
    <cellStyle name="常规 8 3 3 9 2 6" xfId="27666"/>
    <cellStyle name="常规 8 3 3 9 3" xfId="27667"/>
    <cellStyle name="常规 8 3 3 9 4" xfId="27668"/>
    <cellStyle name="常规 8 3 3 9 5" xfId="27669"/>
    <cellStyle name="常规 8 3 3 9 6" xfId="27670"/>
    <cellStyle name="常规 8 3 3 9 7" xfId="27671"/>
    <cellStyle name="常规 8 3 4" xfId="27672"/>
    <cellStyle name="常规 8 3 4 10" xfId="27673"/>
    <cellStyle name="常规 8 3 4 10 2" xfId="27674"/>
    <cellStyle name="常规 8 3 4 10 3" xfId="27675"/>
    <cellStyle name="常规 8 3 4 10 4" xfId="27676"/>
    <cellStyle name="常规 8 3 4 10 5" xfId="27677"/>
    <cellStyle name="常规 8 3 4 10 6" xfId="27678"/>
    <cellStyle name="常规 8 3 4 11" xfId="27679"/>
    <cellStyle name="常规 8 3 4 12" xfId="27680"/>
    <cellStyle name="常规 8 3 4 13" xfId="27681"/>
    <cellStyle name="常规 8 3 4 14" xfId="27682"/>
    <cellStyle name="常规 8 3 4 15" xfId="27683"/>
    <cellStyle name="常规 8 3 4 16" xfId="27684"/>
    <cellStyle name="常规 8 3 4 2" xfId="27685"/>
    <cellStyle name="常规 8 3 4 2 2" xfId="27686"/>
    <cellStyle name="常规 8 3 4 2 2 2" xfId="27687"/>
    <cellStyle name="常规 8 3 4 2 2 3" xfId="27688"/>
    <cellStyle name="常规 8 3 4 2 2 4" xfId="27689"/>
    <cellStyle name="常规 8 3 4 2 2 5" xfId="27690"/>
    <cellStyle name="常规 8 3 4 2 2 6" xfId="27691"/>
    <cellStyle name="常规 8 3 4 2 3" xfId="27692"/>
    <cellStyle name="常规 8 3 4 2 4" xfId="27693"/>
    <cellStyle name="常规 8 3 4 2 5" xfId="27694"/>
    <cellStyle name="常规 8 3 4 2 6" xfId="27695"/>
    <cellStyle name="常规 8 3 4 2 7" xfId="27696"/>
    <cellStyle name="常规 8 3 4 2 8" xfId="27697"/>
    <cellStyle name="常规 8 3 4 2 9" xfId="27698"/>
    <cellStyle name="常规 8 3 4 3" xfId="27699"/>
    <cellStyle name="常规 8 3 4 3 2" xfId="27700"/>
    <cellStyle name="常规 8 3 4 3 2 2" xfId="27701"/>
    <cellStyle name="常规 8 3 4 3 2 3" xfId="27702"/>
    <cellStyle name="常规 8 3 4 3 2 4" xfId="27703"/>
    <cellStyle name="常规 8 3 4 3 2 5" xfId="27704"/>
    <cellStyle name="常规 8 3 4 3 2 6" xfId="27705"/>
    <cellStyle name="常规 8 3 4 3 3" xfId="27706"/>
    <cellStyle name="常规 8 3 4 3 4" xfId="27707"/>
    <cellStyle name="常规 8 3 4 3 5" xfId="27708"/>
    <cellStyle name="常规 8 3 4 3 6" xfId="27709"/>
    <cellStyle name="常规 8 3 4 3 7" xfId="27710"/>
    <cellStyle name="常规 8 3 4 3 8" xfId="27711"/>
    <cellStyle name="常规 8 3 4 4" xfId="27712"/>
    <cellStyle name="常规 8 3 4 4 2" xfId="27713"/>
    <cellStyle name="常规 8 3 4 4 2 2" xfId="27714"/>
    <cellStyle name="常规 8 3 4 4 2 3" xfId="27715"/>
    <cellStyle name="常规 8 3 4 4 2 4" xfId="27716"/>
    <cellStyle name="常规 8 3 4 4 2 5" xfId="27717"/>
    <cellStyle name="常规 8 3 4 4 2 6" xfId="27718"/>
    <cellStyle name="常规 8 3 4 4 3" xfId="27719"/>
    <cellStyle name="常规 8 3 4 4 4" xfId="27720"/>
    <cellStyle name="常规 8 3 4 4 5" xfId="27721"/>
    <cellStyle name="常规 8 3 4 4 6" xfId="27722"/>
    <cellStyle name="常规 8 3 4 4 7" xfId="27723"/>
    <cellStyle name="常规 8 3 4 4 8" xfId="27724"/>
    <cellStyle name="常规 8 3 4 5" xfId="27725"/>
    <cellStyle name="常规 8 3 4 5 2" xfId="27726"/>
    <cellStyle name="常规 8 3 4 5 2 2" xfId="27727"/>
    <cellStyle name="常规 8 3 4 5 2 3" xfId="27728"/>
    <cellStyle name="常规 8 3 4 5 2 4" xfId="27729"/>
    <cellStyle name="常规 8 3 4 5 2 5" xfId="27730"/>
    <cellStyle name="常规 8 3 4 5 2 6" xfId="27731"/>
    <cellStyle name="常规 8 3 4 5 3" xfId="27732"/>
    <cellStyle name="常规 8 3 4 5 4" xfId="27733"/>
    <cellStyle name="常规 8 3 4 5 5" xfId="27734"/>
    <cellStyle name="常规 8 3 4 5 6" xfId="27735"/>
    <cellStyle name="常规 8 3 4 5 7" xfId="27736"/>
    <cellStyle name="常规 8 3 4 6" xfId="27737"/>
    <cellStyle name="常规 8 3 4 6 2" xfId="27738"/>
    <cellStyle name="常规 8 3 4 6 2 2" xfId="27739"/>
    <cellStyle name="常规 8 3 4 6 2 3" xfId="27740"/>
    <cellStyle name="常规 8 3 4 6 2 4" xfId="27741"/>
    <cellStyle name="常规 8 3 4 6 2 5" xfId="27742"/>
    <cellStyle name="常规 8 3 4 6 2 6" xfId="27743"/>
    <cellStyle name="常规 8 3 4 6 3" xfId="27744"/>
    <cellStyle name="常规 8 3 4 6 4" xfId="27745"/>
    <cellStyle name="常规 8 3 4 6 5" xfId="27746"/>
    <cellStyle name="常规 8 3 4 6 6" xfId="27747"/>
    <cellStyle name="常规 8 3 4 6 7" xfId="27748"/>
    <cellStyle name="常规 8 3 4 7" xfId="27749"/>
    <cellStyle name="常规 8 3 4 7 2" xfId="27750"/>
    <cellStyle name="常规 8 3 4 7 2 2" xfId="27751"/>
    <cellStyle name="常规 8 3 4 7 2 3" xfId="27752"/>
    <cellStyle name="常规 8 3 4 7 2 4" xfId="27753"/>
    <cellStyle name="常规 8 3 4 7 2 5" xfId="27754"/>
    <cellStyle name="常规 8 3 4 7 2 6" xfId="27755"/>
    <cellStyle name="常规 8 3 4 7 3" xfId="27756"/>
    <cellStyle name="常规 8 3 4 7 4" xfId="27757"/>
    <cellStyle name="常规 8 3 4 7 5" xfId="27758"/>
    <cellStyle name="常规 8 3 4 7 6" xfId="27759"/>
    <cellStyle name="常规 8 3 4 7 7" xfId="27760"/>
    <cellStyle name="常规 8 3 4 8" xfId="27761"/>
    <cellStyle name="常规 8 3 4 8 2" xfId="27762"/>
    <cellStyle name="常规 8 3 4 8 2 2" xfId="27763"/>
    <cellStyle name="常规 8 3 4 8 2 3" xfId="27764"/>
    <cellStyle name="常规 8 3 4 8 2 4" xfId="27765"/>
    <cellStyle name="常规 8 3 4 8 2 5" xfId="27766"/>
    <cellStyle name="常规 8 3 4 8 2 6" xfId="27767"/>
    <cellStyle name="常规 8 3 4 8 3" xfId="27768"/>
    <cellStyle name="常规 8 3 4 8 4" xfId="27769"/>
    <cellStyle name="常规 8 3 4 8 5" xfId="27770"/>
    <cellStyle name="常规 8 3 4 8 6" xfId="27771"/>
    <cellStyle name="常规 8 3 4 8 7" xfId="27772"/>
    <cellStyle name="常规 8 3 4 9" xfId="27773"/>
    <cellStyle name="常规 8 3 4 9 2" xfId="27774"/>
    <cellStyle name="常规 8 3 4 9 2 2" xfId="27775"/>
    <cellStyle name="常规 8 3 4 9 2 3" xfId="27776"/>
    <cellStyle name="常规 8 3 4 9 2 4" xfId="27777"/>
    <cellStyle name="常规 8 3 4 9 2 5" xfId="27778"/>
    <cellStyle name="常规 8 3 4 9 2 6" xfId="27779"/>
    <cellStyle name="常规 8 3 4 9 3" xfId="27780"/>
    <cellStyle name="常规 8 3 4 9 4" xfId="27781"/>
    <cellStyle name="常规 8 3 4 9 5" xfId="27782"/>
    <cellStyle name="常规 8 3 4 9 6" xfId="27783"/>
    <cellStyle name="常规 8 3 4 9 7" xfId="27784"/>
    <cellStyle name="常规 8 3 5" xfId="27785"/>
    <cellStyle name="常规 8 3 5 10" xfId="27786"/>
    <cellStyle name="常规 8 3 5 11" xfId="27787"/>
    <cellStyle name="常规 8 3 5 12" xfId="27788"/>
    <cellStyle name="常规 8 3 5 13" xfId="27789"/>
    <cellStyle name="常规 8 3 5 14" xfId="27790"/>
    <cellStyle name="常规 8 3 5 15" xfId="27791"/>
    <cellStyle name="常规 8 3 5 2" xfId="27792"/>
    <cellStyle name="常规 8 3 5 2 2" xfId="27793"/>
    <cellStyle name="常规 8 3 5 2 2 2" xfId="27794"/>
    <cellStyle name="常规 8 3 5 2 2 3" xfId="27795"/>
    <cellStyle name="常规 8 3 5 2 2 4" xfId="27796"/>
    <cellStyle name="常规 8 3 5 2 2 5" xfId="27797"/>
    <cellStyle name="常规 8 3 5 2 2 6" xfId="27798"/>
    <cellStyle name="常规 8 3 5 2 3" xfId="27799"/>
    <cellStyle name="常规 8 3 5 2 4" xfId="27800"/>
    <cellStyle name="常规 8 3 5 2 5" xfId="27801"/>
    <cellStyle name="常规 8 3 5 2 6" xfId="27802"/>
    <cellStyle name="常规 8 3 5 2 7" xfId="27803"/>
    <cellStyle name="常规 8 3 5 2 8" xfId="27804"/>
    <cellStyle name="常规 8 3 5 2 9" xfId="27805"/>
    <cellStyle name="常规 8 3 5 3" xfId="27806"/>
    <cellStyle name="常规 8 3 5 3 2" xfId="27807"/>
    <cellStyle name="常规 8 3 5 3 2 2" xfId="27808"/>
    <cellStyle name="常规 8 3 5 3 2 3" xfId="27809"/>
    <cellStyle name="常规 8 3 5 3 2 4" xfId="27810"/>
    <cellStyle name="常规 8 3 5 3 2 5" xfId="27811"/>
    <cellStyle name="常规 8 3 5 3 2 6" xfId="27812"/>
    <cellStyle name="常规 8 3 5 3 3" xfId="27813"/>
    <cellStyle name="常规 8 3 5 3 4" xfId="27814"/>
    <cellStyle name="常规 8 3 5 3 5" xfId="27815"/>
    <cellStyle name="常规 8 3 5 3 6" xfId="27816"/>
    <cellStyle name="常规 8 3 5 3 7" xfId="27817"/>
    <cellStyle name="常规 8 3 5 3 8" xfId="27818"/>
    <cellStyle name="常规 8 3 5 4" xfId="27819"/>
    <cellStyle name="常规 8 3 5 4 2" xfId="27820"/>
    <cellStyle name="常规 8 3 5 4 2 2" xfId="27821"/>
    <cellStyle name="常规 8 3 5 4 2 3" xfId="27822"/>
    <cellStyle name="常规 8 3 5 4 2 4" xfId="27823"/>
    <cellStyle name="常规 8 3 5 4 2 5" xfId="27824"/>
    <cellStyle name="常规 8 3 5 4 2 6" xfId="27825"/>
    <cellStyle name="常规 8 3 5 4 3" xfId="27826"/>
    <cellStyle name="常规 8 3 5 4 4" xfId="27827"/>
    <cellStyle name="常规 8 3 5 4 5" xfId="27828"/>
    <cellStyle name="常规 8 3 5 4 6" xfId="27829"/>
    <cellStyle name="常规 8 3 5 4 7" xfId="27830"/>
    <cellStyle name="常规 8 3 5 4 8" xfId="27831"/>
    <cellStyle name="常规 8 3 5 5" xfId="27832"/>
    <cellStyle name="常规 8 3 5 5 2" xfId="27833"/>
    <cellStyle name="常规 8 3 5 5 2 2" xfId="27834"/>
    <cellStyle name="常规 8 3 5 5 2 3" xfId="27835"/>
    <cellStyle name="常规 8 3 5 5 2 4" xfId="27836"/>
    <cellStyle name="常规 8 3 5 5 2 5" xfId="27837"/>
    <cellStyle name="常规 8 3 5 5 2 6" xfId="27838"/>
    <cellStyle name="常规 8 3 5 5 3" xfId="27839"/>
    <cellStyle name="常规 8 3 5 5 4" xfId="27840"/>
    <cellStyle name="常规 8 3 5 5 5" xfId="27841"/>
    <cellStyle name="常规 8 3 5 5 6" xfId="27842"/>
    <cellStyle name="常规 8 3 5 5 7" xfId="27843"/>
    <cellStyle name="常规 8 3 5 6" xfId="27844"/>
    <cellStyle name="常规 8 3 5 6 2" xfId="27845"/>
    <cellStyle name="常规 8 3 5 6 2 2" xfId="27846"/>
    <cellStyle name="常规 8 3 5 6 2 3" xfId="27847"/>
    <cellStyle name="常规 8 3 5 6 2 4" xfId="27848"/>
    <cellStyle name="常规 8 3 5 6 2 5" xfId="27849"/>
    <cellStyle name="常规 8 3 5 6 2 6" xfId="27850"/>
    <cellStyle name="常规 8 3 5 6 3" xfId="27851"/>
    <cellStyle name="常规 8 3 5 6 4" xfId="27852"/>
    <cellStyle name="常规 8 3 5 6 5" xfId="27853"/>
    <cellStyle name="常规 8 3 5 6 6" xfId="27854"/>
    <cellStyle name="常规 8 3 5 6 7" xfId="27855"/>
    <cellStyle name="常规 8 3 5 7" xfId="27856"/>
    <cellStyle name="常规 8 3 5 7 2" xfId="27857"/>
    <cellStyle name="常规 8 3 5 7 2 2" xfId="27858"/>
    <cellStyle name="常规 8 3 5 7 2 3" xfId="27859"/>
    <cellStyle name="常规 8 3 5 7 2 4" xfId="27860"/>
    <cellStyle name="常规 8 3 5 7 2 5" xfId="27861"/>
    <cellStyle name="常规 8 3 5 7 2 6" xfId="27862"/>
    <cellStyle name="常规 8 3 5 7 3" xfId="27863"/>
    <cellStyle name="常规 8 3 5 7 4" xfId="27864"/>
    <cellStyle name="常规 8 3 5 7 5" xfId="27865"/>
    <cellStyle name="常规 8 3 5 7 6" xfId="27866"/>
    <cellStyle name="常规 8 3 5 7 7" xfId="27867"/>
    <cellStyle name="常规 8 3 5 8" xfId="27868"/>
    <cellStyle name="常规 8 3 5 8 2" xfId="27869"/>
    <cellStyle name="常规 8 3 5 8 2 2" xfId="27870"/>
    <cellStyle name="常规 8 3 5 8 2 3" xfId="27871"/>
    <cellStyle name="常规 8 3 5 8 2 4" xfId="27872"/>
    <cellStyle name="常规 8 3 5 8 2 5" xfId="27873"/>
    <cellStyle name="常规 8 3 5 8 2 6" xfId="27874"/>
    <cellStyle name="常规 8 3 5 8 3" xfId="27875"/>
    <cellStyle name="常规 8 3 5 8 4" xfId="27876"/>
    <cellStyle name="常规 8 3 5 8 5" xfId="27877"/>
    <cellStyle name="常规 8 3 5 8 6" xfId="27878"/>
    <cellStyle name="常规 8 3 5 8 7" xfId="27879"/>
    <cellStyle name="常规 8 3 5 9" xfId="27880"/>
    <cellStyle name="常规 8 3 5 9 2" xfId="27881"/>
    <cellStyle name="常规 8 3 5 9 3" xfId="27882"/>
    <cellStyle name="常规 8 3 5 9 4" xfId="27883"/>
    <cellStyle name="常规 8 3 5 9 5" xfId="27884"/>
    <cellStyle name="常规 8 3 5 9 6" xfId="27885"/>
    <cellStyle name="常规 8 3 6" xfId="27886"/>
    <cellStyle name="常规 8 3 6 10" xfId="27887"/>
    <cellStyle name="常规 8 3 6 11" xfId="27888"/>
    <cellStyle name="常规 8 3 6 12" xfId="27889"/>
    <cellStyle name="常规 8 3 6 13" xfId="27890"/>
    <cellStyle name="常规 8 3 6 14" xfId="27891"/>
    <cellStyle name="常规 8 3 6 15" xfId="27892"/>
    <cellStyle name="常规 8 3 6 2" xfId="27893"/>
    <cellStyle name="常规 8 3 6 2 2" xfId="27894"/>
    <cellStyle name="常规 8 3 6 2 2 2" xfId="27895"/>
    <cellStyle name="常规 8 3 6 2 2 3" xfId="27896"/>
    <cellStyle name="常规 8 3 6 2 2 4" xfId="27897"/>
    <cellStyle name="常规 8 3 6 2 2 5" xfId="27898"/>
    <cellStyle name="常规 8 3 6 2 2 6" xfId="27899"/>
    <cellStyle name="常规 8 3 6 2 3" xfId="27900"/>
    <cellStyle name="常规 8 3 6 2 4" xfId="27901"/>
    <cellStyle name="常规 8 3 6 2 5" xfId="27902"/>
    <cellStyle name="常规 8 3 6 2 6" xfId="27903"/>
    <cellStyle name="常规 8 3 6 2 7" xfId="27904"/>
    <cellStyle name="常规 8 3 6 3" xfId="27905"/>
    <cellStyle name="常规 8 3 6 3 2" xfId="27906"/>
    <cellStyle name="常规 8 3 6 3 2 2" xfId="27907"/>
    <cellStyle name="常规 8 3 6 3 2 3" xfId="27908"/>
    <cellStyle name="常规 8 3 6 3 2 4" xfId="27909"/>
    <cellStyle name="常规 8 3 6 3 2 5" xfId="27910"/>
    <cellStyle name="常规 8 3 6 3 2 6" xfId="27911"/>
    <cellStyle name="常规 8 3 6 3 3" xfId="27912"/>
    <cellStyle name="常规 8 3 6 3 4" xfId="27913"/>
    <cellStyle name="常规 8 3 6 3 5" xfId="27914"/>
    <cellStyle name="常规 8 3 6 3 6" xfId="27915"/>
    <cellStyle name="常规 8 3 6 3 7" xfId="27916"/>
    <cellStyle name="常规 8 3 6 4" xfId="27917"/>
    <cellStyle name="常规 8 3 6 4 2" xfId="27918"/>
    <cellStyle name="常规 8 3 6 4 2 2" xfId="27919"/>
    <cellStyle name="常规 8 3 6 4 2 3" xfId="27920"/>
    <cellStyle name="常规 8 3 6 4 2 4" xfId="27921"/>
    <cellStyle name="常规 8 3 6 4 2 5" xfId="27922"/>
    <cellStyle name="常规 8 3 6 4 2 6" xfId="27923"/>
    <cellStyle name="常规 8 3 6 4 3" xfId="27924"/>
    <cellStyle name="常规 8 3 6 4 4" xfId="27925"/>
    <cellStyle name="常规 8 3 6 4 5" xfId="27926"/>
    <cellStyle name="常规 8 3 6 4 6" xfId="27927"/>
    <cellStyle name="常规 8 3 6 4 7" xfId="27928"/>
    <cellStyle name="常规 8 3 6 5" xfId="27929"/>
    <cellStyle name="常规 8 3 6 5 2" xfId="27930"/>
    <cellStyle name="常规 8 3 6 5 2 2" xfId="27931"/>
    <cellStyle name="常规 8 3 6 5 2 3" xfId="27932"/>
    <cellStyle name="常规 8 3 6 5 2 4" xfId="27933"/>
    <cellStyle name="常规 8 3 6 5 2 5" xfId="27934"/>
    <cellStyle name="常规 8 3 6 5 2 6" xfId="27935"/>
    <cellStyle name="常规 8 3 6 5 3" xfId="27936"/>
    <cellStyle name="常规 8 3 6 5 4" xfId="27937"/>
    <cellStyle name="常规 8 3 6 5 5" xfId="27938"/>
    <cellStyle name="常规 8 3 6 5 6" xfId="27939"/>
    <cellStyle name="常规 8 3 6 5 7" xfId="27940"/>
    <cellStyle name="常规 8 3 6 6" xfId="27941"/>
    <cellStyle name="常规 8 3 6 6 2" xfId="27942"/>
    <cellStyle name="常规 8 3 6 6 2 2" xfId="27943"/>
    <cellStyle name="常规 8 3 6 6 2 3" xfId="27944"/>
    <cellStyle name="常规 8 3 6 6 2 4" xfId="27945"/>
    <cellStyle name="常规 8 3 6 6 2 5" xfId="27946"/>
    <cellStyle name="常规 8 3 6 6 2 6" xfId="27947"/>
    <cellStyle name="常规 8 3 6 6 3" xfId="27948"/>
    <cellStyle name="常规 8 3 6 6 4" xfId="27949"/>
    <cellStyle name="常规 8 3 6 6 5" xfId="27950"/>
    <cellStyle name="常规 8 3 6 6 6" xfId="27951"/>
    <cellStyle name="常规 8 3 6 6 7" xfId="27952"/>
    <cellStyle name="常规 8 3 6 7" xfId="27953"/>
    <cellStyle name="常规 8 3 6 7 2" xfId="27954"/>
    <cellStyle name="常规 8 3 6 7 2 2" xfId="27955"/>
    <cellStyle name="常规 8 3 6 7 2 3" xfId="27956"/>
    <cellStyle name="常规 8 3 6 7 2 4" xfId="27957"/>
    <cellStyle name="常规 8 3 6 7 2 5" xfId="27958"/>
    <cellStyle name="常规 8 3 6 7 2 6" xfId="27959"/>
    <cellStyle name="常规 8 3 6 7 3" xfId="27960"/>
    <cellStyle name="常规 8 3 6 7 4" xfId="27961"/>
    <cellStyle name="常规 8 3 6 7 5" xfId="27962"/>
    <cellStyle name="常规 8 3 6 7 6" xfId="27963"/>
    <cellStyle name="常规 8 3 6 7 7" xfId="27964"/>
    <cellStyle name="常规 8 3 6 8" xfId="27965"/>
    <cellStyle name="常规 8 3 6 8 2" xfId="27966"/>
    <cellStyle name="常规 8 3 6 8 3" xfId="27967"/>
    <cellStyle name="常规 8 3 6 8 4" xfId="27968"/>
    <cellStyle name="常规 8 3 6 8 5" xfId="27969"/>
    <cellStyle name="常规 8 3 6 8 6" xfId="27970"/>
    <cellStyle name="常规 8 3 6 9" xfId="27971"/>
    <cellStyle name="常规 8 3 7" xfId="27972"/>
    <cellStyle name="常规 8 3 7 10" xfId="27973"/>
    <cellStyle name="常规 8 3 7 11" xfId="27974"/>
    <cellStyle name="常规 8 3 7 12" xfId="27975"/>
    <cellStyle name="常规 8 3 7 13" xfId="27976"/>
    <cellStyle name="常规 8 3 7 2" xfId="27977"/>
    <cellStyle name="常规 8 3 7 2 2" xfId="27978"/>
    <cellStyle name="常规 8 3 7 2 2 2" xfId="27979"/>
    <cellStyle name="常规 8 3 7 2 2 3" xfId="27980"/>
    <cellStyle name="常规 8 3 7 2 2 4" xfId="27981"/>
    <cellStyle name="常规 8 3 7 2 2 5" xfId="27982"/>
    <cellStyle name="常规 8 3 7 2 2 6" xfId="27983"/>
    <cellStyle name="常规 8 3 7 2 3" xfId="27984"/>
    <cellStyle name="常规 8 3 7 2 4" xfId="27985"/>
    <cellStyle name="常规 8 3 7 2 5" xfId="27986"/>
    <cellStyle name="常规 8 3 7 2 6" xfId="27987"/>
    <cellStyle name="常规 8 3 7 2 7" xfId="27988"/>
    <cellStyle name="常规 8 3 7 3" xfId="27989"/>
    <cellStyle name="常规 8 3 7 3 2" xfId="27990"/>
    <cellStyle name="常规 8 3 7 3 2 2" xfId="27991"/>
    <cellStyle name="常规 8 3 7 3 2 3" xfId="27992"/>
    <cellStyle name="常规 8 3 7 3 2 4" xfId="27993"/>
    <cellStyle name="常规 8 3 7 3 2 5" xfId="27994"/>
    <cellStyle name="常规 8 3 7 3 2 6" xfId="27995"/>
    <cellStyle name="常规 8 3 7 3 3" xfId="27996"/>
    <cellStyle name="常规 8 3 7 3 4" xfId="27997"/>
    <cellStyle name="常规 8 3 7 3 5" xfId="27998"/>
    <cellStyle name="常规 8 3 7 3 6" xfId="27999"/>
    <cellStyle name="常规 8 3 7 3 7" xfId="28000"/>
    <cellStyle name="常规 8 3 7 4" xfId="28001"/>
    <cellStyle name="常规 8 3 7 4 2" xfId="28002"/>
    <cellStyle name="常规 8 3 7 4 2 2" xfId="28003"/>
    <cellStyle name="常规 8 3 7 4 2 3" xfId="28004"/>
    <cellStyle name="常规 8 3 7 4 2 4" xfId="28005"/>
    <cellStyle name="常规 8 3 7 4 2 5" xfId="28006"/>
    <cellStyle name="常规 8 3 7 4 2 6" xfId="28007"/>
    <cellStyle name="常规 8 3 7 4 3" xfId="28008"/>
    <cellStyle name="常规 8 3 7 4 4" xfId="28009"/>
    <cellStyle name="常规 8 3 7 4 5" xfId="28010"/>
    <cellStyle name="常规 8 3 7 4 6" xfId="28011"/>
    <cellStyle name="常规 8 3 7 4 7" xfId="28012"/>
    <cellStyle name="常规 8 3 7 5" xfId="28013"/>
    <cellStyle name="常规 8 3 7 5 2" xfId="28014"/>
    <cellStyle name="常规 8 3 7 5 2 2" xfId="28015"/>
    <cellStyle name="常规 8 3 7 5 2 3" xfId="28016"/>
    <cellStyle name="常规 8 3 7 5 2 4" xfId="28017"/>
    <cellStyle name="常规 8 3 7 5 2 5" xfId="28018"/>
    <cellStyle name="常规 8 3 7 5 2 6" xfId="28019"/>
    <cellStyle name="常规 8 3 7 5 3" xfId="28020"/>
    <cellStyle name="常规 8 3 7 5 4" xfId="28021"/>
    <cellStyle name="常规 8 3 7 5 5" xfId="28022"/>
    <cellStyle name="常规 8 3 7 5 6" xfId="28023"/>
    <cellStyle name="常规 8 3 7 5 7" xfId="28024"/>
    <cellStyle name="常规 8 3 7 6" xfId="28025"/>
    <cellStyle name="常规 8 3 7 6 2" xfId="28026"/>
    <cellStyle name="常规 8 3 7 6 2 2" xfId="28027"/>
    <cellStyle name="常规 8 3 7 6 2 3" xfId="28028"/>
    <cellStyle name="常规 8 3 7 6 2 4" xfId="28029"/>
    <cellStyle name="常规 8 3 7 6 2 5" xfId="28030"/>
    <cellStyle name="常规 8 3 7 6 2 6" xfId="28031"/>
    <cellStyle name="常规 8 3 7 6 3" xfId="28032"/>
    <cellStyle name="常规 8 3 7 6 4" xfId="28033"/>
    <cellStyle name="常规 8 3 7 6 5" xfId="28034"/>
    <cellStyle name="常规 8 3 7 6 6" xfId="28035"/>
    <cellStyle name="常规 8 3 7 6 7" xfId="28036"/>
    <cellStyle name="常规 8 3 7 7" xfId="28037"/>
    <cellStyle name="常规 8 3 7 7 2" xfId="28038"/>
    <cellStyle name="常规 8 3 7 7 3" xfId="28039"/>
    <cellStyle name="常规 8 3 7 7 4" xfId="28040"/>
    <cellStyle name="常规 8 3 7 7 5" xfId="28041"/>
    <cellStyle name="常规 8 3 7 7 6" xfId="28042"/>
    <cellStyle name="常规 8 3 7 8" xfId="28043"/>
    <cellStyle name="常规 8 3 7 9" xfId="28044"/>
    <cellStyle name="常规 8 3 8" xfId="28045"/>
    <cellStyle name="常规 8 3 8 10" xfId="28046"/>
    <cellStyle name="常规 8 3 8 11" xfId="28047"/>
    <cellStyle name="常规 8 3 8 12" xfId="28048"/>
    <cellStyle name="常规 8 3 8 2" xfId="28049"/>
    <cellStyle name="常规 8 3 8 2 2" xfId="28050"/>
    <cellStyle name="常规 8 3 8 2 2 2" xfId="28051"/>
    <cellStyle name="常规 8 3 8 2 2 3" xfId="28052"/>
    <cellStyle name="常规 8 3 8 2 2 4" xfId="28053"/>
    <cellStyle name="常规 8 3 8 2 2 5" xfId="28054"/>
    <cellStyle name="常规 8 3 8 2 2 6" xfId="28055"/>
    <cellStyle name="常规 8 3 8 2 3" xfId="28056"/>
    <cellStyle name="常规 8 3 8 2 4" xfId="28057"/>
    <cellStyle name="常规 8 3 8 2 5" xfId="28058"/>
    <cellStyle name="常规 8 3 8 2 6" xfId="28059"/>
    <cellStyle name="常规 8 3 8 2 7" xfId="28060"/>
    <cellStyle name="常规 8 3 8 3" xfId="28061"/>
    <cellStyle name="常规 8 3 8 3 2" xfId="28062"/>
    <cellStyle name="常规 8 3 8 3 2 2" xfId="28063"/>
    <cellStyle name="常规 8 3 8 3 2 3" xfId="28064"/>
    <cellStyle name="常规 8 3 8 3 2 4" xfId="28065"/>
    <cellStyle name="常规 8 3 8 3 2 5" xfId="28066"/>
    <cellStyle name="常规 8 3 8 3 2 6" xfId="28067"/>
    <cellStyle name="常规 8 3 8 3 3" xfId="28068"/>
    <cellStyle name="常规 8 3 8 3 4" xfId="28069"/>
    <cellStyle name="常规 8 3 8 3 5" xfId="28070"/>
    <cellStyle name="常规 8 3 8 3 6" xfId="28071"/>
    <cellStyle name="常规 8 3 8 3 7" xfId="28072"/>
    <cellStyle name="常规 8 3 8 4" xfId="28073"/>
    <cellStyle name="常规 8 3 8 4 2" xfId="28074"/>
    <cellStyle name="常规 8 3 8 4 2 2" xfId="28075"/>
    <cellStyle name="常规 8 3 8 4 2 3" xfId="28076"/>
    <cellStyle name="常规 8 3 8 4 2 4" xfId="28077"/>
    <cellStyle name="常规 8 3 8 4 2 5" xfId="28078"/>
    <cellStyle name="常规 8 3 8 4 2 6" xfId="28079"/>
    <cellStyle name="常规 8 3 8 4 3" xfId="28080"/>
    <cellStyle name="常规 8 3 8 4 4" xfId="28081"/>
    <cellStyle name="常规 8 3 8 4 5" xfId="28082"/>
    <cellStyle name="常规 8 3 8 4 6" xfId="28083"/>
    <cellStyle name="常规 8 3 8 4 7" xfId="28084"/>
    <cellStyle name="常规 8 3 8 5" xfId="28085"/>
    <cellStyle name="常规 8 3 8 5 2" xfId="28086"/>
    <cellStyle name="常规 8 3 8 5 2 2" xfId="28087"/>
    <cellStyle name="常规 8 3 8 5 2 3" xfId="28088"/>
    <cellStyle name="常规 8 3 8 5 2 4" xfId="28089"/>
    <cellStyle name="常规 8 3 8 5 2 5" xfId="28090"/>
    <cellStyle name="常规 8 3 8 5 2 6" xfId="28091"/>
    <cellStyle name="常规 8 3 8 5 3" xfId="28092"/>
    <cellStyle name="常规 8 3 8 5 4" xfId="28093"/>
    <cellStyle name="常规 8 3 8 5 5" xfId="28094"/>
    <cellStyle name="常规 8 3 8 5 6" xfId="28095"/>
    <cellStyle name="常规 8 3 8 5 7" xfId="28096"/>
    <cellStyle name="常规 8 3 8 6" xfId="28097"/>
    <cellStyle name="常规 8 3 8 6 2" xfId="28098"/>
    <cellStyle name="常规 8 3 8 6 3" xfId="28099"/>
    <cellStyle name="常规 8 3 8 6 4" xfId="28100"/>
    <cellStyle name="常规 8 3 8 6 5" xfId="28101"/>
    <cellStyle name="常规 8 3 8 6 6" xfId="28102"/>
    <cellStyle name="常规 8 3 8 7" xfId="28103"/>
    <cellStyle name="常规 8 3 8 8" xfId="28104"/>
    <cellStyle name="常规 8 3 8 9" xfId="28105"/>
    <cellStyle name="常规 8 3 9" xfId="28106"/>
    <cellStyle name="常规 8 3 9 10" xfId="28107"/>
    <cellStyle name="常规 8 3 9 11" xfId="28108"/>
    <cellStyle name="常规 8 3 9 2" xfId="28109"/>
    <cellStyle name="常规 8 3 9 2 2" xfId="28110"/>
    <cellStyle name="常规 8 3 9 2 2 2" xfId="28111"/>
    <cellStyle name="常规 8 3 9 2 2 3" xfId="28112"/>
    <cellStyle name="常规 8 3 9 2 2 4" xfId="28113"/>
    <cellStyle name="常规 8 3 9 2 2 5" xfId="28114"/>
    <cellStyle name="常规 8 3 9 2 2 6" xfId="28115"/>
    <cellStyle name="常规 8 3 9 2 3" xfId="28116"/>
    <cellStyle name="常规 8 3 9 2 4" xfId="28117"/>
    <cellStyle name="常规 8 3 9 2 5" xfId="28118"/>
    <cellStyle name="常规 8 3 9 2 6" xfId="28119"/>
    <cellStyle name="常规 8 3 9 2 7" xfId="28120"/>
    <cellStyle name="常规 8 3 9 3" xfId="28121"/>
    <cellStyle name="常规 8 3 9 3 2" xfId="28122"/>
    <cellStyle name="常规 8 3 9 3 2 2" xfId="28123"/>
    <cellStyle name="常规 8 3 9 3 2 3" xfId="28124"/>
    <cellStyle name="常规 8 3 9 3 2 4" xfId="28125"/>
    <cellStyle name="常规 8 3 9 3 2 5" xfId="28126"/>
    <cellStyle name="常规 8 3 9 3 2 6" xfId="28127"/>
    <cellStyle name="常规 8 3 9 3 3" xfId="28128"/>
    <cellStyle name="常规 8 3 9 3 4" xfId="28129"/>
    <cellStyle name="常规 8 3 9 3 5" xfId="28130"/>
    <cellStyle name="常规 8 3 9 3 6" xfId="28131"/>
    <cellStyle name="常规 8 3 9 3 7" xfId="28132"/>
    <cellStyle name="常规 8 3 9 4" xfId="28133"/>
    <cellStyle name="常规 8 3 9 4 2" xfId="28134"/>
    <cellStyle name="常规 8 3 9 4 2 2" xfId="28135"/>
    <cellStyle name="常规 8 3 9 4 2 3" xfId="28136"/>
    <cellStyle name="常规 8 3 9 4 2 4" xfId="28137"/>
    <cellStyle name="常规 8 3 9 4 2 5" xfId="28138"/>
    <cellStyle name="常规 8 3 9 4 2 6" xfId="28139"/>
    <cellStyle name="常规 8 3 9 4 3" xfId="28140"/>
    <cellStyle name="常规 8 3 9 4 4" xfId="28141"/>
    <cellStyle name="常规 8 3 9 4 5" xfId="28142"/>
    <cellStyle name="常规 8 3 9 4 6" xfId="28143"/>
    <cellStyle name="常规 8 3 9 4 7" xfId="28144"/>
    <cellStyle name="常规 8 3 9 5" xfId="28145"/>
    <cellStyle name="常规 8 3 9 5 2" xfId="28146"/>
    <cellStyle name="常规 8 3 9 5 3" xfId="28147"/>
    <cellStyle name="常规 8 3 9 5 4" xfId="28148"/>
    <cellStyle name="常规 8 3 9 5 5" xfId="28149"/>
    <cellStyle name="常规 8 3 9 5 6" xfId="28150"/>
    <cellStyle name="常规 8 3 9 6" xfId="28151"/>
    <cellStyle name="常规 8 3 9 7" xfId="28152"/>
    <cellStyle name="常规 8 3 9 8" xfId="28153"/>
    <cellStyle name="常规 8 3 9 9" xfId="28154"/>
    <cellStyle name="常规 8 30" xfId="28155"/>
    <cellStyle name="常规 8 4" xfId="28156"/>
    <cellStyle name="常规 8 4 10" xfId="28157"/>
    <cellStyle name="常规 8 4 10 2" xfId="28158"/>
    <cellStyle name="常规 8 4 10 2 2" xfId="28159"/>
    <cellStyle name="常规 8 4 10 2 3" xfId="28160"/>
    <cellStyle name="常规 8 4 10 2 4" xfId="28161"/>
    <cellStyle name="常规 8 4 10 2 5" xfId="28162"/>
    <cellStyle name="常规 8 4 10 2 6" xfId="28163"/>
    <cellStyle name="常规 8 4 10 3" xfId="28164"/>
    <cellStyle name="常规 8 4 10 4" xfId="28165"/>
    <cellStyle name="常规 8 4 10 5" xfId="28166"/>
    <cellStyle name="常规 8 4 10 6" xfId="28167"/>
    <cellStyle name="常规 8 4 10 7" xfId="28168"/>
    <cellStyle name="常规 8 4 11" xfId="28169"/>
    <cellStyle name="常规 8 4 11 2" xfId="28170"/>
    <cellStyle name="常规 8 4 11 2 2" xfId="28171"/>
    <cellStyle name="常规 8 4 11 2 3" xfId="28172"/>
    <cellStyle name="常规 8 4 11 2 4" xfId="28173"/>
    <cellStyle name="常规 8 4 11 2 5" xfId="28174"/>
    <cellStyle name="常规 8 4 11 2 6" xfId="28175"/>
    <cellStyle name="常规 8 4 11 3" xfId="28176"/>
    <cellStyle name="常规 8 4 11 4" xfId="28177"/>
    <cellStyle name="常规 8 4 11 5" xfId="28178"/>
    <cellStyle name="常规 8 4 11 6" xfId="28179"/>
    <cellStyle name="常规 8 4 11 7" xfId="28180"/>
    <cellStyle name="常规 8 4 12" xfId="28181"/>
    <cellStyle name="常规 8 4 12 2" xfId="28182"/>
    <cellStyle name="常规 8 4 12 2 2" xfId="28183"/>
    <cellStyle name="常规 8 4 12 2 3" xfId="28184"/>
    <cellStyle name="常规 8 4 12 2 4" xfId="28185"/>
    <cellStyle name="常规 8 4 12 2 5" xfId="28186"/>
    <cellStyle name="常规 8 4 12 2 6" xfId="28187"/>
    <cellStyle name="常规 8 4 12 3" xfId="28188"/>
    <cellStyle name="常规 8 4 12 4" xfId="28189"/>
    <cellStyle name="常规 8 4 12 5" xfId="28190"/>
    <cellStyle name="常规 8 4 12 6" xfId="28191"/>
    <cellStyle name="常规 8 4 12 7" xfId="28192"/>
    <cellStyle name="常规 8 4 13" xfId="28193"/>
    <cellStyle name="常规 8 4 13 2" xfId="28194"/>
    <cellStyle name="常规 8 4 13 3" xfId="28195"/>
    <cellStyle name="常规 8 4 13 4" xfId="28196"/>
    <cellStyle name="常规 8 4 13 5" xfId="28197"/>
    <cellStyle name="常规 8 4 13 6" xfId="28198"/>
    <cellStyle name="常规 8 4 14" xfId="28199"/>
    <cellStyle name="常规 8 4 15" xfId="28200"/>
    <cellStyle name="常规 8 4 16" xfId="28201"/>
    <cellStyle name="常规 8 4 17" xfId="28202"/>
    <cellStyle name="常规 8 4 18" xfId="28203"/>
    <cellStyle name="常规 8 4 19" xfId="28204"/>
    <cellStyle name="常规 8 4 2" xfId="28205"/>
    <cellStyle name="常规 8 4 2 2" xfId="28206"/>
    <cellStyle name="常规 8 4 2 2 2" xfId="28207"/>
    <cellStyle name="常规 8 4 2 2 2 2" xfId="28208"/>
    <cellStyle name="常规 8 4 2 2 3" xfId="28209"/>
    <cellStyle name="常规 8 4 2 2 4" xfId="28210"/>
    <cellStyle name="常规 8 4 2 3" xfId="28211"/>
    <cellStyle name="常规 8 4 2 3 2" xfId="28212"/>
    <cellStyle name="常规 8 4 2 3 2 2" xfId="28213"/>
    <cellStyle name="常规 8 4 2 3 3" xfId="28214"/>
    <cellStyle name="常规 8 4 2 3 4" xfId="28215"/>
    <cellStyle name="常规 8 4 2 4" xfId="28216"/>
    <cellStyle name="常规 8 4 2 4 2" xfId="28217"/>
    <cellStyle name="常规 8 4 2 5" xfId="28218"/>
    <cellStyle name="常规 8 4 2 6" xfId="28219"/>
    <cellStyle name="常规 8 4 2 7" xfId="28220"/>
    <cellStyle name="常规 8 4 3" xfId="28221"/>
    <cellStyle name="常规 8 4 3 2" xfId="28222"/>
    <cellStyle name="常规 8 4 3 2 2" xfId="28223"/>
    <cellStyle name="常规 8 4 3 2 3" xfId="28224"/>
    <cellStyle name="常规 8 4 3 2 4" xfId="28225"/>
    <cellStyle name="常规 8 4 3 2 5" xfId="28226"/>
    <cellStyle name="常规 8 4 3 2 6" xfId="28227"/>
    <cellStyle name="常规 8 4 3 2 7" xfId="28228"/>
    <cellStyle name="常规 8 4 3 2 8" xfId="28229"/>
    <cellStyle name="常规 8 4 3 3" xfId="28230"/>
    <cellStyle name="常规 8 4 3 3 2" xfId="28231"/>
    <cellStyle name="常规 8 4 3 4" xfId="28232"/>
    <cellStyle name="常规 8 4 3 4 2" xfId="28233"/>
    <cellStyle name="常规 8 4 3 5" xfId="28234"/>
    <cellStyle name="常规 8 4 3 6" xfId="28235"/>
    <cellStyle name="常规 8 4 3 7" xfId="28236"/>
    <cellStyle name="常规 8 4 3 8" xfId="28237"/>
    <cellStyle name="常规 8 4 4" xfId="28238"/>
    <cellStyle name="常规 8 4 4 2" xfId="28239"/>
    <cellStyle name="常规 8 4 4 2 2" xfId="28240"/>
    <cellStyle name="常规 8 4 4 2 3" xfId="28241"/>
    <cellStyle name="常规 8 4 4 2 4" xfId="28242"/>
    <cellStyle name="常规 8 4 4 2 5" xfId="28243"/>
    <cellStyle name="常规 8 4 4 2 6" xfId="28244"/>
    <cellStyle name="常规 8 4 4 2 7" xfId="28245"/>
    <cellStyle name="常规 8 4 4 2 8" xfId="28246"/>
    <cellStyle name="常规 8 4 4 3" xfId="28247"/>
    <cellStyle name="常规 8 4 4 3 2" xfId="28248"/>
    <cellStyle name="常规 8 4 4 4" xfId="28249"/>
    <cellStyle name="常规 8 4 4 4 2" xfId="28250"/>
    <cellStyle name="常规 8 4 4 5" xfId="28251"/>
    <cellStyle name="常规 8 4 4 6" xfId="28252"/>
    <cellStyle name="常规 8 4 4 7" xfId="28253"/>
    <cellStyle name="常规 8 4 4 8" xfId="28254"/>
    <cellStyle name="常规 8 4 5" xfId="28255"/>
    <cellStyle name="常规 8 4 5 2" xfId="28256"/>
    <cellStyle name="常规 8 4 5 2 2" xfId="28257"/>
    <cellStyle name="常规 8 4 5 2 3" xfId="28258"/>
    <cellStyle name="常规 8 4 5 2 4" xfId="28259"/>
    <cellStyle name="常规 8 4 5 2 5" xfId="28260"/>
    <cellStyle name="常规 8 4 5 2 6" xfId="28261"/>
    <cellStyle name="常规 8 4 5 3" xfId="28262"/>
    <cellStyle name="常规 8 4 5 4" xfId="28263"/>
    <cellStyle name="常规 8 4 5 5" xfId="28264"/>
    <cellStyle name="常规 8 4 5 6" xfId="28265"/>
    <cellStyle name="常规 8 4 5 7" xfId="28266"/>
    <cellStyle name="常规 8 4 5 8" xfId="28267"/>
    <cellStyle name="常规 8 4 5 9" xfId="28268"/>
    <cellStyle name="常规 8 4 6" xfId="28269"/>
    <cellStyle name="常规 8 4 6 2" xfId="28270"/>
    <cellStyle name="常规 8 4 6 2 2" xfId="28271"/>
    <cellStyle name="常规 8 4 6 2 3" xfId="28272"/>
    <cellStyle name="常规 8 4 6 2 4" xfId="28273"/>
    <cellStyle name="常规 8 4 6 2 5" xfId="28274"/>
    <cellStyle name="常规 8 4 6 2 6" xfId="28275"/>
    <cellStyle name="常规 8 4 6 3" xfId="28276"/>
    <cellStyle name="常规 8 4 6 4" xfId="28277"/>
    <cellStyle name="常规 8 4 6 5" xfId="28278"/>
    <cellStyle name="常规 8 4 6 6" xfId="28279"/>
    <cellStyle name="常规 8 4 6 7" xfId="28280"/>
    <cellStyle name="常规 8 4 6 8" xfId="28281"/>
    <cellStyle name="常规 8 4 7" xfId="28282"/>
    <cellStyle name="常规 8 4 7 2" xfId="28283"/>
    <cellStyle name="常规 8 4 7 2 2" xfId="28284"/>
    <cellStyle name="常规 8 4 7 2 3" xfId="28285"/>
    <cellStyle name="常规 8 4 7 2 4" xfId="28286"/>
    <cellStyle name="常规 8 4 7 2 5" xfId="28287"/>
    <cellStyle name="常规 8 4 7 2 6" xfId="28288"/>
    <cellStyle name="常规 8 4 7 3" xfId="28289"/>
    <cellStyle name="常规 8 4 7 4" xfId="28290"/>
    <cellStyle name="常规 8 4 7 5" xfId="28291"/>
    <cellStyle name="常规 8 4 7 6" xfId="28292"/>
    <cellStyle name="常规 8 4 7 7" xfId="28293"/>
    <cellStyle name="常规 8 4 7 8" xfId="28294"/>
    <cellStyle name="常规 8 4 8" xfId="28295"/>
    <cellStyle name="常规 8 4 8 2" xfId="28296"/>
    <cellStyle name="常规 8 4 8 2 2" xfId="28297"/>
    <cellStyle name="常规 8 4 8 2 3" xfId="28298"/>
    <cellStyle name="常规 8 4 8 2 4" xfId="28299"/>
    <cellStyle name="常规 8 4 8 2 5" xfId="28300"/>
    <cellStyle name="常规 8 4 8 2 6" xfId="28301"/>
    <cellStyle name="常规 8 4 8 3" xfId="28302"/>
    <cellStyle name="常规 8 4 8 4" xfId="28303"/>
    <cellStyle name="常规 8 4 8 5" xfId="28304"/>
    <cellStyle name="常规 8 4 8 6" xfId="28305"/>
    <cellStyle name="常规 8 4 8 7" xfId="28306"/>
    <cellStyle name="常规 8 4 8 8" xfId="28307"/>
    <cellStyle name="常规 8 4 9" xfId="28308"/>
    <cellStyle name="常规 8 4 9 2" xfId="28309"/>
    <cellStyle name="常规 8 4 9 2 2" xfId="28310"/>
    <cellStyle name="常规 8 4 9 2 3" xfId="28311"/>
    <cellStyle name="常规 8 4 9 2 4" xfId="28312"/>
    <cellStyle name="常规 8 4 9 2 5" xfId="28313"/>
    <cellStyle name="常规 8 4 9 2 6" xfId="28314"/>
    <cellStyle name="常规 8 4 9 3" xfId="28315"/>
    <cellStyle name="常规 8 4 9 4" xfId="28316"/>
    <cellStyle name="常规 8 4 9 5" xfId="28317"/>
    <cellStyle name="常规 8 4 9 6" xfId="28318"/>
    <cellStyle name="常规 8 4 9 7" xfId="28319"/>
    <cellStyle name="常规 8 5" xfId="28320"/>
    <cellStyle name="常规 8 5 10" xfId="28321"/>
    <cellStyle name="常规 8 5 10 2" xfId="28322"/>
    <cellStyle name="常规 8 5 10 2 2" xfId="28323"/>
    <cellStyle name="常规 8 5 10 2 3" xfId="28324"/>
    <cellStyle name="常规 8 5 10 2 4" xfId="28325"/>
    <cellStyle name="常规 8 5 10 2 5" xfId="28326"/>
    <cellStyle name="常规 8 5 10 2 6" xfId="28327"/>
    <cellStyle name="常规 8 5 10 3" xfId="28328"/>
    <cellStyle name="常规 8 5 10 4" xfId="28329"/>
    <cellStyle name="常规 8 5 10 5" xfId="28330"/>
    <cellStyle name="常规 8 5 10 6" xfId="28331"/>
    <cellStyle name="常规 8 5 10 7" xfId="28332"/>
    <cellStyle name="常规 8 5 11" xfId="28333"/>
    <cellStyle name="常规 8 5 11 2" xfId="28334"/>
    <cellStyle name="常规 8 5 11 2 2" xfId="28335"/>
    <cellStyle name="常规 8 5 11 2 3" xfId="28336"/>
    <cellStyle name="常规 8 5 11 2 4" xfId="28337"/>
    <cellStyle name="常规 8 5 11 2 5" xfId="28338"/>
    <cellStyle name="常规 8 5 11 2 6" xfId="28339"/>
    <cellStyle name="常规 8 5 11 3" xfId="28340"/>
    <cellStyle name="常规 8 5 11 4" xfId="28341"/>
    <cellStyle name="常规 8 5 11 5" xfId="28342"/>
    <cellStyle name="常规 8 5 11 6" xfId="28343"/>
    <cellStyle name="常规 8 5 11 7" xfId="28344"/>
    <cellStyle name="常规 8 5 12" xfId="28345"/>
    <cellStyle name="常规 8 5 2" xfId="28346"/>
    <cellStyle name="常规 8 5 2 2" xfId="28347"/>
    <cellStyle name="常规 8 5 2 2 2" xfId="28348"/>
    <cellStyle name="常规 8 5 2 3" xfId="28349"/>
    <cellStyle name="常规 8 5 2 4" xfId="28350"/>
    <cellStyle name="常规 8 5 2 5" xfId="28351"/>
    <cellStyle name="常规 8 5 3" xfId="28352"/>
    <cellStyle name="常规 8 5 3 2" xfId="28353"/>
    <cellStyle name="常规 8 5 3 2 2" xfId="28354"/>
    <cellStyle name="常规 8 5 3 2 3" xfId="28355"/>
    <cellStyle name="常规 8 5 3 2 4" xfId="28356"/>
    <cellStyle name="常规 8 5 3 2 5" xfId="28357"/>
    <cellStyle name="常规 8 5 3 2 6" xfId="28358"/>
    <cellStyle name="常规 8 5 3 2 7" xfId="28359"/>
    <cellStyle name="常规 8 5 3 3" xfId="28360"/>
    <cellStyle name="常规 8 5 3 4" xfId="28361"/>
    <cellStyle name="常规 8 5 3 5" xfId="28362"/>
    <cellStyle name="常规 8 5 3 6" xfId="28363"/>
    <cellStyle name="常规 8 5 3 7" xfId="28364"/>
    <cellStyle name="常规 8 5 3 8" xfId="28365"/>
    <cellStyle name="常规 8 5 4" xfId="28366"/>
    <cellStyle name="常规 8 5 4 2" xfId="28367"/>
    <cellStyle name="常规 8 5 4 2 2" xfId="28368"/>
    <cellStyle name="常规 8 5 4 2 3" xfId="28369"/>
    <cellStyle name="常规 8 5 4 2 4" xfId="28370"/>
    <cellStyle name="常规 8 5 4 2 5" xfId="28371"/>
    <cellStyle name="常规 8 5 4 2 6" xfId="28372"/>
    <cellStyle name="常规 8 5 4 3" xfId="28373"/>
    <cellStyle name="常规 8 5 4 4" xfId="28374"/>
    <cellStyle name="常规 8 5 4 5" xfId="28375"/>
    <cellStyle name="常规 8 5 4 6" xfId="28376"/>
    <cellStyle name="常规 8 5 4 7" xfId="28377"/>
    <cellStyle name="常规 8 5 4 8" xfId="28378"/>
    <cellStyle name="常规 8 5 4 9" xfId="28379"/>
    <cellStyle name="常规 8 5 5" xfId="28380"/>
    <cellStyle name="常规 8 5 5 2" xfId="28381"/>
    <cellStyle name="常规 8 5 5 2 2" xfId="28382"/>
    <cellStyle name="常规 8 5 5 2 3" xfId="28383"/>
    <cellStyle name="常规 8 5 5 2 4" xfId="28384"/>
    <cellStyle name="常规 8 5 5 2 5" xfId="28385"/>
    <cellStyle name="常规 8 5 5 2 6" xfId="28386"/>
    <cellStyle name="常规 8 5 5 3" xfId="28387"/>
    <cellStyle name="常规 8 5 5 4" xfId="28388"/>
    <cellStyle name="常规 8 5 5 5" xfId="28389"/>
    <cellStyle name="常规 8 5 5 6" xfId="28390"/>
    <cellStyle name="常规 8 5 5 7" xfId="28391"/>
    <cellStyle name="常规 8 5 5 8" xfId="28392"/>
    <cellStyle name="常规 8 5 6" xfId="28393"/>
    <cellStyle name="常规 8 5 6 2" xfId="28394"/>
    <cellStyle name="常规 8 5 6 2 2" xfId="28395"/>
    <cellStyle name="常规 8 5 6 2 3" xfId="28396"/>
    <cellStyle name="常规 8 5 6 2 4" xfId="28397"/>
    <cellStyle name="常规 8 5 6 2 5" xfId="28398"/>
    <cellStyle name="常规 8 5 6 2 6" xfId="28399"/>
    <cellStyle name="常规 8 5 6 3" xfId="28400"/>
    <cellStyle name="常规 8 5 6 4" xfId="28401"/>
    <cellStyle name="常规 8 5 6 5" xfId="28402"/>
    <cellStyle name="常规 8 5 6 6" xfId="28403"/>
    <cellStyle name="常规 8 5 6 7" xfId="28404"/>
    <cellStyle name="常规 8 5 6 8" xfId="28405"/>
    <cellStyle name="常规 8 5 7" xfId="28406"/>
    <cellStyle name="常规 8 5 7 2" xfId="28407"/>
    <cellStyle name="常规 8 5 7 2 2" xfId="28408"/>
    <cellStyle name="常规 8 5 7 2 3" xfId="28409"/>
    <cellStyle name="常规 8 5 7 2 4" xfId="28410"/>
    <cellStyle name="常规 8 5 7 2 5" xfId="28411"/>
    <cellStyle name="常规 8 5 7 2 6" xfId="28412"/>
    <cellStyle name="常规 8 5 7 3" xfId="28413"/>
    <cellStyle name="常规 8 5 7 4" xfId="28414"/>
    <cellStyle name="常规 8 5 7 5" xfId="28415"/>
    <cellStyle name="常规 8 5 7 6" xfId="28416"/>
    <cellStyle name="常规 8 5 7 7" xfId="28417"/>
    <cellStyle name="常规 8 5 7 8" xfId="28418"/>
    <cellStyle name="常规 8 5 8" xfId="28419"/>
    <cellStyle name="常规 8 5 8 2" xfId="28420"/>
    <cellStyle name="常规 8 5 8 2 2" xfId="28421"/>
    <cellStyle name="常规 8 5 8 2 3" xfId="28422"/>
    <cellStyle name="常规 8 5 8 2 4" xfId="28423"/>
    <cellStyle name="常规 8 5 8 2 5" xfId="28424"/>
    <cellStyle name="常规 8 5 8 2 6" xfId="28425"/>
    <cellStyle name="常规 8 5 8 3" xfId="28426"/>
    <cellStyle name="常规 8 5 8 4" xfId="28427"/>
    <cellStyle name="常规 8 5 8 5" xfId="28428"/>
    <cellStyle name="常规 8 5 8 6" xfId="28429"/>
    <cellStyle name="常规 8 5 8 7" xfId="28430"/>
    <cellStyle name="常规 8 5 9" xfId="28431"/>
    <cellStyle name="常规 8 5 9 2" xfId="28432"/>
    <cellStyle name="常规 8 5 9 2 2" xfId="28433"/>
    <cellStyle name="常规 8 5 9 2 3" xfId="28434"/>
    <cellStyle name="常规 8 5 9 2 4" xfId="28435"/>
    <cellStyle name="常规 8 5 9 2 5" xfId="28436"/>
    <cellStyle name="常规 8 5 9 2 6" xfId="28437"/>
    <cellStyle name="常规 8 5 9 3" xfId="28438"/>
    <cellStyle name="常规 8 5 9 4" xfId="28439"/>
    <cellStyle name="常规 8 5 9 5" xfId="28440"/>
    <cellStyle name="常规 8 5 9 6" xfId="28441"/>
    <cellStyle name="常规 8 5 9 7" xfId="28442"/>
    <cellStyle name="常规 8 6" xfId="28443"/>
    <cellStyle name="常规 8 6 10" xfId="28444"/>
    <cellStyle name="常规 8 6 2" xfId="28445"/>
    <cellStyle name="常规 8 6 2 2" xfId="28446"/>
    <cellStyle name="常规 8 6 2 2 2" xfId="28447"/>
    <cellStyle name="常规 8 6 2 2 3" xfId="28448"/>
    <cellStyle name="常规 8 6 2 2 4" xfId="28449"/>
    <cellStyle name="常规 8 6 2 2 5" xfId="28450"/>
    <cellStyle name="常规 8 6 2 2 6" xfId="28451"/>
    <cellStyle name="常规 8 6 2 2 7" xfId="28452"/>
    <cellStyle name="常规 8 6 2 2 8" xfId="28453"/>
    <cellStyle name="常规 8 6 2 3" xfId="28454"/>
    <cellStyle name="常规 8 6 2 3 2" xfId="28455"/>
    <cellStyle name="常规 8 6 2 4" xfId="28456"/>
    <cellStyle name="常规 8 6 2 4 2" xfId="28457"/>
    <cellStyle name="常规 8 6 2 5" xfId="28458"/>
    <cellStyle name="常规 8 6 2 6" xfId="28459"/>
    <cellStyle name="常规 8 6 2 7" xfId="28460"/>
    <cellStyle name="常规 8 6 2 8" xfId="28461"/>
    <cellStyle name="常规 8 6 3" xfId="28462"/>
    <cellStyle name="常规 8 6 3 2" xfId="28463"/>
    <cellStyle name="常规 8 6 3 2 2" xfId="28464"/>
    <cellStyle name="常规 8 6 3 2 3" xfId="28465"/>
    <cellStyle name="常规 8 6 3 2 4" xfId="28466"/>
    <cellStyle name="常规 8 6 3 2 5" xfId="28467"/>
    <cellStyle name="常规 8 6 3 2 6" xfId="28468"/>
    <cellStyle name="常规 8 6 3 2 7" xfId="28469"/>
    <cellStyle name="常规 8 6 3 2 8" xfId="28470"/>
    <cellStyle name="常规 8 6 3 3" xfId="28471"/>
    <cellStyle name="常规 8 6 3 3 2" xfId="28472"/>
    <cellStyle name="常规 8 6 3 4" xfId="28473"/>
    <cellStyle name="常规 8 6 3 4 2" xfId="28474"/>
    <cellStyle name="常规 8 6 3 5" xfId="28475"/>
    <cellStyle name="常规 8 6 3 6" xfId="28476"/>
    <cellStyle name="常规 8 6 3 7" xfId="28477"/>
    <cellStyle name="常规 8 6 3 8" xfId="28478"/>
    <cellStyle name="常规 8 6 4" xfId="28479"/>
    <cellStyle name="常规 8 6 4 2" xfId="28480"/>
    <cellStyle name="常规 8 6 4 2 2" xfId="28481"/>
    <cellStyle name="常规 8 6 4 2 3" xfId="28482"/>
    <cellStyle name="常规 8 6 4 2 4" xfId="28483"/>
    <cellStyle name="常规 8 6 4 2 5" xfId="28484"/>
    <cellStyle name="常规 8 6 4 2 6" xfId="28485"/>
    <cellStyle name="常规 8 6 4 3" xfId="28486"/>
    <cellStyle name="常规 8 6 4 4" xfId="28487"/>
    <cellStyle name="常规 8 6 4 5" xfId="28488"/>
    <cellStyle name="常规 8 6 4 6" xfId="28489"/>
    <cellStyle name="常规 8 6 4 7" xfId="28490"/>
    <cellStyle name="常规 8 6 4 8" xfId="28491"/>
    <cellStyle name="常规 8 6 4 9" xfId="28492"/>
    <cellStyle name="常规 8 6 5" xfId="28493"/>
    <cellStyle name="常规 8 6 5 2" xfId="28494"/>
    <cellStyle name="常规 8 6 5 2 2" xfId="28495"/>
    <cellStyle name="常规 8 6 5 2 3" xfId="28496"/>
    <cellStyle name="常规 8 6 5 2 4" xfId="28497"/>
    <cellStyle name="常规 8 6 5 2 5" xfId="28498"/>
    <cellStyle name="常规 8 6 5 2 6" xfId="28499"/>
    <cellStyle name="常规 8 6 5 3" xfId="28500"/>
    <cellStyle name="常规 8 6 5 4" xfId="28501"/>
    <cellStyle name="常规 8 6 5 5" xfId="28502"/>
    <cellStyle name="常规 8 6 5 6" xfId="28503"/>
    <cellStyle name="常规 8 6 5 7" xfId="28504"/>
    <cellStyle name="常规 8 6 5 8" xfId="28505"/>
    <cellStyle name="常规 8 6 6" xfId="28506"/>
    <cellStyle name="常规 8 6 6 2" xfId="28507"/>
    <cellStyle name="常规 8 6 6 2 2" xfId="28508"/>
    <cellStyle name="常规 8 6 6 2 3" xfId="28509"/>
    <cellStyle name="常规 8 6 6 2 4" xfId="28510"/>
    <cellStyle name="常规 8 6 6 2 5" xfId="28511"/>
    <cellStyle name="常规 8 6 6 2 6" xfId="28512"/>
    <cellStyle name="常规 8 6 6 3" xfId="28513"/>
    <cellStyle name="常规 8 6 6 4" xfId="28514"/>
    <cellStyle name="常规 8 6 6 5" xfId="28515"/>
    <cellStyle name="常规 8 6 6 6" xfId="28516"/>
    <cellStyle name="常规 8 6 6 7" xfId="28517"/>
    <cellStyle name="常规 8 6 6 8" xfId="28518"/>
    <cellStyle name="常规 8 6 7" xfId="28519"/>
    <cellStyle name="常规 8 6 7 2" xfId="28520"/>
    <cellStyle name="常规 8 6 7 2 2" xfId="28521"/>
    <cellStyle name="常规 8 6 7 2 3" xfId="28522"/>
    <cellStyle name="常规 8 6 7 2 4" xfId="28523"/>
    <cellStyle name="常规 8 6 7 2 5" xfId="28524"/>
    <cellStyle name="常规 8 6 7 2 6" xfId="28525"/>
    <cellStyle name="常规 8 6 7 3" xfId="28526"/>
    <cellStyle name="常规 8 6 7 4" xfId="28527"/>
    <cellStyle name="常规 8 6 7 5" xfId="28528"/>
    <cellStyle name="常规 8 6 7 6" xfId="28529"/>
    <cellStyle name="常规 8 6 7 7" xfId="28530"/>
    <cellStyle name="常规 8 6 8" xfId="28531"/>
    <cellStyle name="常规 8 6 8 2" xfId="28532"/>
    <cellStyle name="常规 8 6 8 2 2" xfId="28533"/>
    <cellStyle name="常规 8 6 8 2 3" xfId="28534"/>
    <cellStyle name="常规 8 6 8 2 4" xfId="28535"/>
    <cellStyle name="常规 8 6 8 2 5" xfId="28536"/>
    <cellStyle name="常规 8 6 8 2 6" xfId="28537"/>
    <cellStyle name="常规 8 6 8 3" xfId="28538"/>
    <cellStyle name="常规 8 6 8 4" xfId="28539"/>
    <cellStyle name="常规 8 6 8 5" xfId="28540"/>
    <cellStyle name="常规 8 6 8 6" xfId="28541"/>
    <cellStyle name="常规 8 6 8 7" xfId="28542"/>
    <cellStyle name="常规 8 6 9" xfId="28543"/>
    <cellStyle name="常规 8 6 9 2" xfId="28544"/>
    <cellStyle name="常规 8 6 9 2 2" xfId="28545"/>
    <cellStyle name="常规 8 6 9 2 3" xfId="28546"/>
    <cellStyle name="常规 8 6 9 2 4" xfId="28547"/>
    <cellStyle name="常规 8 6 9 2 5" xfId="28548"/>
    <cellStyle name="常规 8 6 9 2 6" xfId="28549"/>
    <cellStyle name="常规 8 6 9 3" xfId="28550"/>
    <cellStyle name="常规 8 6 9 4" xfId="28551"/>
    <cellStyle name="常规 8 6 9 5" xfId="28552"/>
    <cellStyle name="常规 8 6 9 6" xfId="28553"/>
    <cellStyle name="常规 8 6 9 7" xfId="28554"/>
    <cellStyle name="常规 8 7" xfId="28555"/>
    <cellStyle name="常规 8 7 10" xfId="28556"/>
    <cellStyle name="常规 8 7 10 2" xfId="28557"/>
    <cellStyle name="常规 8 7 10 3" xfId="28558"/>
    <cellStyle name="常规 8 7 10 4" xfId="28559"/>
    <cellStyle name="常规 8 7 10 5" xfId="28560"/>
    <cellStyle name="常规 8 7 10 6" xfId="28561"/>
    <cellStyle name="常规 8 7 11" xfId="28562"/>
    <cellStyle name="常规 8 7 12" xfId="28563"/>
    <cellStyle name="常规 8 7 13" xfId="28564"/>
    <cellStyle name="常规 8 7 14" xfId="28565"/>
    <cellStyle name="常规 8 7 15" xfId="28566"/>
    <cellStyle name="常规 8 7 16" xfId="28567"/>
    <cellStyle name="常规 8 7 2" xfId="28568"/>
    <cellStyle name="常规 8 7 2 2" xfId="28569"/>
    <cellStyle name="常规 8 7 2 2 2" xfId="28570"/>
    <cellStyle name="常规 8 7 2 2 3" xfId="28571"/>
    <cellStyle name="常规 8 7 2 2 4" xfId="28572"/>
    <cellStyle name="常规 8 7 2 2 5" xfId="28573"/>
    <cellStyle name="常规 8 7 2 2 6" xfId="28574"/>
    <cellStyle name="常规 8 7 2 3" xfId="28575"/>
    <cellStyle name="常规 8 7 2 4" xfId="28576"/>
    <cellStyle name="常规 8 7 2 5" xfId="28577"/>
    <cellStyle name="常规 8 7 2 6" xfId="28578"/>
    <cellStyle name="常规 8 7 2 7" xfId="28579"/>
    <cellStyle name="常规 8 7 2 8" xfId="28580"/>
    <cellStyle name="常规 8 7 2 9" xfId="28581"/>
    <cellStyle name="常规 8 7 3" xfId="28582"/>
    <cellStyle name="常规 8 7 3 2" xfId="28583"/>
    <cellStyle name="常规 8 7 3 2 2" xfId="28584"/>
    <cellStyle name="常规 8 7 3 2 3" xfId="28585"/>
    <cellStyle name="常规 8 7 3 2 4" xfId="28586"/>
    <cellStyle name="常规 8 7 3 2 5" xfId="28587"/>
    <cellStyle name="常规 8 7 3 2 6" xfId="28588"/>
    <cellStyle name="常规 8 7 3 3" xfId="28589"/>
    <cellStyle name="常规 8 7 3 4" xfId="28590"/>
    <cellStyle name="常规 8 7 3 5" xfId="28591"/>
    <cellStyle name="常规 8 7 3 6" xfId="28592"/>
    <cellStyle name="常规 8 7 3 7" xfId="28593"/>
    <cellStyle name="常规 8 7 3 8" xfId="28594"/>
    <cellStyle name="常规 8 7 4" xfId="28595"/>
    <cellStyle name="常规 8 7 4 2" xfId="28596"/>
    <cellStyle name="常规 8 7 4 2 2" xfId="28597"/>
    <cellStyle name="常规 8 7 4 2 3" xfId="28598"/>
    <cellStyle name="常规 8 7 4 2 4" xfId="28599"/>
    <cellStyle name="常规 8 7 4 2 5" xfId="28600"/>
    <cellStyle name="常规 8 7 4 2 6" xfId="28601"/>
    <cellStyle name="常规 8 7 4 3" xfId="28602"/>
    <cellStyle name="常规 8 7 4 4" xfId="28603"/>
    <cellStyle name="常规 8 7 4 5" xfId="28604"/>
    <cellStyle name="常规 8 7 4 6" xfId="28605"/>
    <cellStyle name="常规 8 7 4 7" xfId="28606"/>
    <cellStyle name="常规 8 7 4 8" xfId="28607"/>
    <cellStyle name="常规 8 7 5" xfId="28608"/>
    <cellStyle name="常规 8 7 5 2" xfId="28609"/>
    <cellStyle name="常规 8 7 5 2 2" xfId="28610"/>
    <cellStyle name="常规 8 7 5 2 3" xfId="28611"/>
    <cellStyle name="常规 8 7 5 2 4" xfId="28612"/>
    <cellStyle name="常规 8 7 5 2 5" xfId="28613"/>
    <cellStyle name="常规 8 7 5 2 6" xfId="28614"/>
    <cellStyle name="常规 8 7 5 3" xfId="28615"/>
    <cellStyle name="常规 8 7 5 4" xfId="28616"/>
    <cellStyle name="常规 8 7 5 5" xfId="28617"/>
    <cellStyle name="常规 8 7 5 6" xfId="28618"/>
    <cellStyle name="常规 8 7 5 7" xfId="28619"/>
    <cellStyle name="常规 8 7 6" xfId="28620"/>
    <cellStyle name="常规 8 7 6 2" xfId="28621"/>
    <cellStyle name="常规 8 7 6 2 2" xfId="28622"/>
    <cellStyle name="常规 8 7 6 2 3" xfId="28623"/>
    <cellStyle name="常规 8 7 6 2 4" xfId="28624"/>
    <cellStyle name="常规 8 7 6 2 5" xfId="28625"/>
    <cellStyle name="常规 8 7 6 2 6" xfId="28626"/>
    <cellStyle name="常规 8 7 6 3" xfId="28627"/>
    <cellStyle name="常规 8 7 6 4" xfId="28628"/>
    <cellStyle name="常规 8 7 6 5" xfId="28629"/>
    <cellStyle name="常规 8 7 6 6" xfId="28630"/>
    <cellStyle name="常规 8 7 6 7" xfId="28631"/>
    <cellStyle name="常规 8 7 7" xfId="28632"/>
    <cellStyle name="常规 8 7 7 2" xfId="28633"/>
    <cellStyle name="常规 8 7 7 2 2" xfId="28634"/>
    <cellStyle name="常规 8 7 7 2 3" xfId="28635"/>
    <cellStyle name="常规 8 7 7 2 4" xfId="28636"/>
    <cellStyle name="常规 8 7 7 2 5" xfId="28637"/>
    <cellStyle name="常规 8 7 7 2 6" xfId="28638"/>
    <cellStyle name="常规 8 7 7 3" xfId="28639"/>
    <cellStyle name="常规 8 7 7 4" xfId="28640"/>
    <cellStyle name="常规 8 7 7 5" xfId="28641"/>
    <cellStyle name="常规 8 7 7 6" xfId="28642"/>
    <cellStyle name="常规 8 7 7 7" xfId="28643"/>
    <cellStyle name="常规 8 7 8" xfId="28644"/>
    <cellStyle name="常规 8 7 8 2" xfId="28645"/>
    <cellStyle name="常规 8 7 8 2 2" xfId="28646"/>
    <cellStyle name="常规 8 7 8 2 3" xfId="28647"/>
    <cellStyle name="常规 8 7 8 2 4" xfId="28648"/>
    <cellStyle name="常规 8 7 8 2 5" xfId="28649"/>
    <cellStyle name="常规 8 7 8 2 6" xfId="28650"/>
    <cellStyle name="常规 8 7 8 3" xfId="28651"/>
    <cellStyle name="常规 8 7 8 4" xfId="28652"/>
    <cellStyle name="常规 8 7 8 5" xfId="28653"/>
    <cellStyle name="常规 8 7 8 6" xfId="28654"/>
    <cellStyle name="常规 8 7 8 7" xfId="28655"/>
    <cellStyle name="常规 8 7 9" xfId="28656"/>
    <cellStyle name="常规 8 7 9 2" xfId="28657"/>
    <cellStyle name="常规 8 7 9 2 2" xfId="28658"/>
    <cellStyle name="常规 8 7 9 2 3" xfId="28659"/>
    <cellStyle name="常规 8 7 9 2 4" xfId="28660"/>
    <cellStyle name="常规 8 7 9 2 5" xfId="28661"/>
    <cellStyle name="常规 8 7 9 2 6" xfId="28662"/>
    <cellStyle name="常规 8 7 9 3" xfId="28663"/>
    <cellStyle name="常规 8 7 9 4" xfId="28664"/>
    <cellStyle name="常规 8 7 9 5" xfId="28665"/>
    <cellStyle name="常规 8 7 9 6" xfId="28666"/>
    <cellStyle name="常规 8 7 9 7" xfId="28667"/>
    <cellStyle name="常规 8 8" xfId="28668"/>
    <cellStyle name="常规 8 8 10" xfId="28669"/>
    <cellStyle name="常规 8 8 11" xfId="28670"/>
    <cellStyle name="常规 8 8 12" xfId="28671"/>
    <cellStyle name="常规 8 8 13" xfId="28672"/>
    <cellStyle name="常规 8 8 14" xfId="28673"/>
    <cellStyle name="常规 8 8 15" xfId="28674"/>
    <cellStyle name="常规 8 8 2" xfId="28675"/>
    <cellStyle name="常规 8 8 2 2" xfId="28676"/>
    <cellStyle name="常规 8 8 2 2 2" xfId="28677"/>
    <cellStyle name="常规 8 8 2 2 3" xfId="28678"/>
    <cellStyle name="常规 8 8 2 2 4" xfId="28679"/>
    <cellStyle name="常规 8 8 2 2 5" xfId="28680"/>
    <cellStyle name="常规 8 8 2 2 6" xfId="28681"/>
    <cellStyle name="常规 8 8 2 3" xfId="28682"/>
    <cellStyle name="常规 8 8 2 4" xfId="28683"/>
    <cellStyle name="常规 8 8 2 5" xfId="28684"/>
    <cellStyle name="常规 8 8 2 6" xfId="28685"/>
    <cellStyle name="常规 8 8 2 7" xfId="28686"/>
    <cellStyle name="常规 8 8 2 8" xfId="28687"/>
    <cellStyle name="常规 8 8 2 9" xfId="28688"/>
    <cellStyle name="常规 8 8 3" xfId="28689"/>
    <cellStyle name="常规 8 8 3 2" xfId="28690"/>
    <cellStyle name="常规 8 8 3 2 2" xfId="28691"/>
    <cellStyle name="常规 8 8 3 2 3" xfId="28692"/>
    <cellStyle name="常规 8 8 3 2 4" xfId="28693"/>
    <cellStyle name="常规 8 8 3 2 5" xfId="28694"/>
    <cellStyle name="常规 8 8 3 2 6" xfId="28695"/>
    <cellStyle name="常规 8 8 3 3" xfId="28696"/>
    <cellStyle name="常规 8 8 3 4" xfId="28697"/>
    <cellStyle name="常规 8 8 3 5" xfId="28698"/>
    <cellStyle name="常规 8 8 3 6" xfId="28699"/>
    <cellStyle name="常规 8 8 3 7" xfId="28700"/>
    <cellStyle name="常规 8 8 3 8" xfId="28701"/>
    <cellStyle name="常规 8 8 4" xfId="28702"/>
    <cellStyle name="常规 8 8 4 2" xfId="28703"/>
    <cellStyle name="常规 8 8 4 2 2" xfId="28704"/>
    <cellStyle name="常规 8 8 4 2 3" xfId="28705"/>
    <cellStyle name="常规 8 8 4 2 4" xfId="28706"/>
    <cellStyle name="常规 8 8 4 2 5" xfId="28707"/>
    <cellStyle name="常规 8 8 4 2 6" xfId="28708"/>
    <cellStyle name="常规 8 8 4 3" xfId="28709"/>
    <cellStyle name="常规 8 8 4 4" xfId="28710"/>
    <cellStyle name="常规 8 8 4 5" xfId="28711"/>
    <cellStyle name="常规 8 8 4 6" xfId="28712"/>
    <cellStyle name="常规 8 8 4 7" xfId="28713"/>
    <cellStyle name="常规 8 8 4 8" xfId="28714"/>
    <cellStyle name="常规 8 8 5" xfId="28715"/>
    <cellStyle name="常规 8 8 5 2" xfId="28716"/>
    <cellStyle name="常规 8 8 5 2 2" xfId="28717"/>
    <cellStyle name="常规 8 8 5 2 3" xfId="28718"/>
    <cellStyle name="常规 8 8 5 2 4" xfId="28719"/>
    <cellStyle name="常规 8 8 5 2 5" xfId="28720"/>
    <cellStyle name="常规 8 8 5 2 6" xfId="28721"/>
    <cellStyle name="常规 8 8 5 3" xfId="28722"/>
    <cellStyle name="常规 8 8 5 4" xfId="28723"/>
    <cellStyle name="常规 8 8 5 5" xfId="28724"/>
    <cellStyle name="常规 8 8 5 6" xfId="28725"/>
    <cellStyle name="常规 8 8 5 7" xfId="28726"/>
    <cellStyle name="常规 8 8 6" xfId="28727"/>
    <cellStyle name="常规 8 8 6 2" xfId="28728"/>
    <cellStyle name="常规 8 8 6 2 2" xfId="28729"/>
    <cellStyle name="常规 8 8 6 2 3" xfId="28730"/>
    <cellStyle name="常规 8 8 6 2 4" xfId="28731"/>
    <cellStyle name="常规 8 8 6 2 5" xfId="28732"/>
    <cellStyle name="常规 8 8 6 2 6" xfId="28733"/>
    <cellStyle name="常规 8 8 6 3" xfId="28734"/>
    <cellStyle name="常规 8 8 6 4" xfId="28735"/>
    <cellStyle name="常规 8 8 6 5" xfId="28736"/>
    <cellStyle name="常规 8 8 6 6" xfId="28737"/>
    <cellStyle name="常规 8 8 6 7" xfId="28738"/>
    <cellStyle name="常规 8 8 7" xfId="28739"/>
    <cellStyle name="常规 8 8 7 2" xfId="28740"/>
    <cellStyle name="常规 8 8 7 2 2" xfId="28741"/>
    <cellStyle name="常规 8 8 7 2 3" xfId="28742"/>
    <cellStyle name="常规 8 8 7 2 4" xfId="28743"/>
    <cellStyle name="常规 8 8 7 2 5" xfId="28744"/>
    <cellStyle name="常规 8 8 7 2 6" xfId="28745"/>
    <cellStyle name="常规 8 8 7 3" xfId="28746"/>
    <cellStyle name="常规 8 8 7 4" xfId="28747"/>
    <cellStyle name="常规 8 8 7 5" xfId="28748"/>
    <cellStyle name="常规 8 8 7 6" xfId="28749"/>
    <cellStyle name="常规 8 8 7 7" xfId="28750"/>
    <cellStyle name="常规 8 8 8" xfId="28751"/>
    <cellStyle name="常规 8 8 8 2" xfId="28752"/>
    <cellStyle name="常规 8 8 8 2 2" xfId="28753"/>
    <cellStyle name="常规 8 8 8 2 3" xfId="28754"/>
    <cellStyle name="常规 8 8 8 2 4" xfId="28755"/>
    <cellStyle name="常规 8 8 8 2 5" xfId="28756"/>
    <cellStyle name="常规 8 8 8 2 6" xfId="28757"/>
    <cellStyle name="常规 8 8 8 3" xfId="28758"/>
    <cellStyle name="常规 8 8 8 4" xfId="28759"/>
    <cellStyle name="常规 8 8 8 5" xfId="28760"/>
    <cellStyle name="常规 8 8 8 6" xfId="28761"/>
    <cellStyle name="常规 8 8 8 7" xfId="28762"/>
    <cellStyle name="常规 8 8 9" xfId="28763"/>
    <cellStyle name="常规 8 8 9 2" xfId="28764"/>
    <cellStyle name="常规 8 8 9 3" xfId="28765"/>
    <cellStyle name="常规 8 8 9 4" xfId="28766"/>
    <cellStyle name="常规 8 8 9 5" xfId="28767"/>
    <cellStyle name="常规 8 8 9 6" xfId="28768"/>
    <cellStyle name="常规 8 9" xfId="28769"/>
    <cellStyle name="常规 8 9 10" xfId="28770"/>
    <cellStyle name="常规 8 9 11" xfId="28771"/>
    <cellStyle name="常规 8 9 12" xfId="28772"/>
    <cellStyle name="常规 8 9 13" xfId="28773"/>
    <cellStyle name="常规 8 9 14" xfId="28774"/>
    <cellStyle name="常规 8 9 15" xfId="28775"/>
    <cellStyle name="常规 8 9 2" xfId="28776"/>
    <cellStyle name="常规 8 9 2 2" xfId="28777"/>
    <cellStyle name="常规 8 9 2 2 2" xfId="28778"/>
    <cellStyle name="常规 8 9 2 2 3" xfId="28779"/>
    <cellStyle name="常规 8 9 2 2 4" xfId="28780"/>
    <cellStyle name="常规 8 9 2 2 5" xfId="28781"/>
    <cellStyle name="常规 8 9 2 2 6" xfId="28782"/>
    <cellStyle name="常规 8 9 2 3" xfId="28783"/>
    <cellStyle name="常规 8 9 2 4" xfId="28784"/>
    <cellStyle name="常规 8 9 2 5" xfId="28785"/>
    <cellStyle name="常规 8 9 2 6" xfId="28786"/>
    <cellStyle name="常规 8 9 2 7" xfId="28787"/>
    <cellStyle name="常规 8 9 3" xfId="28788"/>
    <cellStyle name="常规 8 9 3 2" xfId="28789"/>
    <cellStyle name="常规 8 9 3 2 2" xfId="28790"/>
    <cellStyle name="常规 8 9 3 2 3" xfId="28791"/>
    <cellStyle name="常规 8 9 3 2 4" xfId="28792"/>
    <cellStyle name="常规 8 9 3 2 5" xfId="28793"/>
    <cellStyle name="常规 8 9 3 2 6" xfId="28794"/>
    <cellStyle name="常规 8 9 3 3" xfId="28795"/>
    <cellStyle name="常规 8 9 3 4" xfId="28796"/>
    <cellStyle name="常规 8 9 3 5" xfId="28797"/>
    <cellStyle name="常规 8 9 3 6" xfId="28798"/>
    <cellStyle name="常规 8 9 3 7" xfId="28799"/>
    <cellStyle name="常规 8 9 4" xfId="28800"/>
    <cellStyle name="常规 8 9 4 2" xfId="28801"/>
    <cellStyle name="常规 8 9 4 2 2" xfId="28802"/>
    <cellStyle name="常规 8 9 4 2 3" xfId="28803"/>
    <cellStyle name="常规 8 9 4 2 4" xfId="28804"/>
    <cellStyle name="常规 8 9 4 2 5" xfId="28805"/>
    <cellStyle name="常规 8 9 4 2 6" xfId="28806"/>
    <cellStyle name="常规 8 9 4 3" xfId="28807"/>
    <cellStyle name="常规 8 9 4 4" xfId="28808"/>
    <cellStyle name="常规 8 9 4 5" xfId="28809"/>
    <cellStyle name="常规 8 9 4 6" xfId="28810"/>
    <cellStyle name="常规 8 9 4 7" xfId="28811"/>
    <cellStyle name="常规 8 9 5" xfId="28812"/>
    <cellStyle name="常规 8 9 5 2" xfId="28813"/>
    <cellStyle name="常规 8 9 5 2 2" xfId="28814"/>
    <cellStyle name="常规 8 9 5 2 3" xfId="28815"/>
    <cellStyle name="常规 8 9 5 2 4" xfId="28816"/>
    <cellStyle name="常规 8 9 5 2 5" xfId="28817"/>
    <cellStyle name="常规 8 9 5 2 6" xfId="28818"/>
    <cellStyle name="常规 8 9 5 3" xfId="28819"/>
    <cellStyle name="常规 8 9 5 4" xfId="28820"/>
    <cellStyle name="常规 8 9 5 5" xfId="28821"/>
    <cellStyle name="常规 8 9 5 6" xfId="28822"/>
    <cellStyle name="常规 8 9 5 7" xfId="28823"/>
    <cellStyle name="常规 8 9 6" xfId="28824"/>
    <cellStyle name="常规 8 9 6 2" xfId="28825"/>
    <cellStyle name="常规 8 9 6 2 2" xfId="28826"/>
    <cellStyle name="常规 8 9 6 2 3" xfId="28827"/>
    <cellStyle name="常规 8 9 6 2 4" xfId="28828"/>
    <cellStyle name="常规 8 9 6 2 5" xfId="28829"/>
    <cellStyle name="常规 8 9 6 2 6" xfId="28830"/>
    <cellStyle name="常规 8 9 6 3" xfId="28831"/>
    <cellStyle name="常规 8 9 6 4" xfId="28832"/>
    <cellStyle name="常规 8 9 6 5" xfId="28833"/>
    <cellStyle name="常规 8 9 6 6" xfId="28834"/>
    <cellStyle name="常规 8 9 6 7" xfId="28835"/>
    <cellStyle name="常规 8 9 7" xfId="28836"/>
    <cellStyle name="常规 8 9 7 2" xfId="28837"/>
    <cellStyle name="常规 8 9 7 2 2" xfId="28838"/>
    <cellStyle name="常规 8 9 7 2 3" xfId="28839"/>
    <cellStyle name="常规 8 9 7 2 4" xfId="28840"/>
    <cellStyle name="常规 8 9 7 2 5" xfId="28841"/>
    <cellStyle name="常规 8 9 7 2 6" xfId="28842"/>
    <cellStyle name="常规 8 9 7 3" xfId="28843"/>
    <cellStyle name="常规 8 9 7 4" xfId="28844"/>
    <cellStyle name="常规 8 9 7 5" xfId="28845"/>
    <cellStyle name="常规 8 9 7 6" xfId="28846"/>
    <cellStyle name="常规 8 9 7 7" xfId="28847"/>
    <cellStyle name="常规 8 9 8" xfId="28848"/>
    <cellStyle name="常规 8 9 8 2" xfId="28849"/>
    <cellStyle name="常规 8 9 8 3" xfId="28850"/>
    <cellStyle name="常规 8 9 8 4" xfId="28851"/>
    <cellStyle name="常规 8 9 8 5" xfId="28852"/>
    <cellStyle name="常规 8 9 8 6" xfId="28853"/>
    <cellStyle name="常规 8 9 9" xfId="28854"/>
    <cellStyle name="常规 80" xfId="28855"/>
    <cellStyle name="常规 80 2" xfId="28856"/>
    <cellStyle name="常规 80 2 2" xfId="28857"/>
    <cellStyle name="常规 80 3" xfId="28858"/>
    <cellStyle name="常规 80 4" xfId="28859"/>
    <cellStyle name="常规 80 5" xfId="28860"/>
    <cellStyle name="常规 81" xfId="28861"/>
    <cellStyle name="常规 81 2" xfId="28862"/>
    <cellStyle name="常规 81 2 2" xfId="28863"/>
    <cellStyle name="常规 81 3" xfId="28864"/>
    <cellStyle name="常规 81 4" xfId="28865"/>
    <cellStyle name="常规 81 5" xfId="28866"/>
    <cellStyle name="常规 82" xfId="28867"/>
    <cellStyle name="常规 82 2" xfId="28868"/>
    <cellStyle name="常规 82 2 2" xfId="28869"/>
    <cellStyle name="常规 82 3" xfId="28870"/>
    <cellStyle name="常规 82 4" xfId="28871"/>
    <cellStyle name="常规 82 5" xfId="28872"/>
    <cellStyle name="常规 83" xfId="28873"/>
    <cellStyle name="常规 83 2" xfId="28874"/>
    <cellStyle name="常规 83 2 2" xfId="28875"/>
    <cellStyle name="常规 83 3" xfId="28876"/>
    <cellStyle name="常规 83 4" xfId="28877"/>
    <cellStyle name="常规 83 5" xfId="28878"/>
    <cellStyle name="常规 84" xfId="28879"/>
    <cellStyle name="常规 84 2" xfId="28880"/>
    <cellStyle name="常规 84 2 2" xfId="28881"/>
    <cellStyle name="常规 84 3" xfId="28882"/>
    <cellStyle name="常规 84 4" xfId="28883"/>
    <cellStyle name="常规 84 5" xfId="28884"/>
    <cellStyle name="常规 85" xfId="28885"/>
    <cellStyle name="常规 85 2" xfId="28886"/>
    <cellStyle name="常规 85 2 2" xfId="28887"/>
    <cellStyle name="常规 85 3" xfId="28888"/>
    <cellStyle name="常规 85 4" xfId="28889"/>
    <cellStyle name="常规 85 5" xfId="28890"/>
    <cellStyle name="常规 86" xfId="28891"/>
    <cellStyle name="常规 86 2" xfId="28892"/>
    <cellStyle name="常规 86 2 2" xfId="28893"/>
    <cellStyle name="常规 86 3" xfId="28894"/>
    <cellStyle name="常规 86 4" xfId="28895"/>
    <cellStyle name="常规 86 5" xfId="28896"/>
    <cellStyle name="常规 87" xfId="28897"/>
    <cellStyle name="常规 87 2" xfId="28898"/>
    <cellStyle name="常规 87 2 2" xfId="28899"/>
    <cellStyle name="常规 87 3" xfId="28900"/>
    <cellStyle name="常规 87 4" xfId="28901"/>
    <cellStyle name="常规 87 5" xfId="28902"/>
    <cellStyle name="常规 88" xfId="28903"/>
    <cellStyle name="常规 88 2" xfId="28904"/>
    <cellStyle name="常规 88 2 2" xfId="28905"/>
    <cellStyle name="常规 88 3" xfId="28906"/>
    <cellStyle name="常规 88 4" xfId="28907"/>
    <cellStyle name="常规 88 5" xfId="28908"/>
    <cellStyle name="常规 89" xfId="28909"/>
    <cellStyle name="常规 89 2" xfId="28910"/>
    <cellStyle name="常规 89 2 2" xfId="28911"/>
    <cellStyle name="常规 89 3" xfId="28912"/>
    <cellStyle name="常规 89 4" xfId="28913"/>
    <cellStyle name="常规 89 5" xfId="28914"/>
    <cellStyle name="常规 9" xfId="28915"/>
    <cellStyle name="常规 9 10" xfId="28916"/>
    <cellStyle name="常规 9 10 2" xfId="28917"/>
    <cellStyle name="常规 9 10 3" xfId="28918"/>
    <cellStyle name="常规 9 10 4" xfId="28919"/>
    <cellStyle name="常规 9 10 5" xfId="28920"/>
    <cellStyle name="常规 9 10 6" xfId="28921"/>
    <cellStyle name="常规 9 10 7" xfId="28922"/>
    <cellStyle name="常规 9 11" xfId="28923"/>
    <cellStyle name="常规 9 11 2" xfId="28924"/>
    <cellStyle name="常规 9 12" xfId="28925"/>
    <cellStyle name="常规 9 12 2" xfId="28926"/>
    <cellStyle name="常规 9 13" xfId="28927"/>
    <cellStyle name="常规 9 14" xfId="28928"/>
    <cellStyle name="常规 9 15" xfId="28929"/>
    <cellStyle name="常规 9 16" xfId="28930"/>
    <cellStyle name="常规 9 17" xfId="28931"/>
    <cellStyle name="常规 9 2" xfId="28932"/>
    <cellStyle name="常规 9 2 10" xfId="28933"/>
    <cellStyle name="常规 9 2 11" xfId="28934"/>
    <cellStyle name="常规 9 2 12" xfId="28935"/>
    <cellStyle name="常规 9 2 2" xfId="28936"/>
    <cellStyle name="常规 9 2 2 10" xfId="28937"/>
    <cellStyle name="常规 9 2 2 2" xfId="28938"/>
    <cellStyle name="常规 9 2 2 2 2" xfId="28939"/>
    <cellStyle name="常规 9 2 2 2 2 2" xfId="28940"/>
    <cellStyle name="常规 9 2 2 2 2 2 2" xfId="28941"/>
    <cellStyle name="常规 9 2 2 2 2 3" xfId="28942"/>
    <cellStyle name="常规 9 2 2 2 2 4" xfId="28943"/>
    <cellStyle name="常规 9 2 2 2 3" xfId="28944"/>
    <cellStyle name="常规 9 2 2 2 3 2" xfId="28945"/>
    <cellStyle name="常规 9 2 2 2 3 2 2" xfId="28946"/>
    <cellStyle name="常规 9 2 2 2 3 3" xfId="28947"/>
    <cellStyle name="常规 9 2 2 2 3 4" xfId="28948"/>
    <cellStyle name="常规 9 2 2 2 4" xfId="28949"/>
    <cellStyle name="常规 9 2 2 2 4 2" xfId="28950"/>
    <cellStyle name="常规 9 2 2 2 5" xfId="28951"/>
    <cellStyle name="常规 9 2 2 2 6" xfId="28952"/>
    <cellStyle name="常规 9 2 2 2 7" xfId="28953"/>
    <cellStyle name="常规 9 2 2 3" xfId="28954"/>
    <cellStyle name="常规 9 2 2 3 2" xfId="28955"/>
    <cellStyle name="常规 9 2 2 3 2 2" xfId="28956"/>
    <cellStyle name="常规 9 2 2 3 3" xfId="28957"/>
    <cellStyle name="常规 9 2 2 3 4" xfId="28958"/>
    <cellStyle name="常规 9 2 2 3 5" xfId="28959"/>
    <cellStyle name="常规 9 2 2 4" xfId="28960"/>
    <cellStyle name="常规 9 2 2 4 2" xfId="28961"/>
    <cellStyle name="常规 9 2 2 4 2 2" xfId="28962"/>
    <cellStyle name="常规 9 2 2 4 2 3" xfId="28963"/>
    <cellStyle name="常规 9 2 2 4 3" xfId="28964"/>
    <cellStyle name="常规 9 2 2 4 3 2" xfId="28965"/>
    <cellStyle name="常规 9 2 2 4 4" xfId="28966"/>
    <cellStyle name="常规 9 2 2 4 4 2" xfId="28967"/>
    <cellStyle name="常规 9 2 2 4 5" xfId="28968"/>
    <cellStyle name="常规 9 2 2 4 6" xfId="28969"/>
    <cellStyle name="常规 9 2 2 4 7" xfId="28970"/>
    <cellStyle name="常规 9 2 2 5" xfId="28971"/>
    <cellStyle name="常规 9 2 2 5 2" xfId="28972"/>
    <cellStyle name="常规 9 2 2 5 3" xfId="28973"/>
    <cellStyle name="常规 9 2 2 6" xfId="28974"/>
    <cellStyle name="常规 9 2 2 6 2" xfId="28975"/>
    <cellStyle name="常规 9 2 2 7" xfId="28976"/>
    <cellStyle name="常规 9 2 2 7 2" xfId="28977"/>
    <cellStyle name="常规 9 2 2 8" xfId="28978"/>
    <cellStyle name="常规 9 2 2 9" xfId="28979"/>
    <cellStyle name="常规 9 2 3" xfId="28980"/>
    <cellStyle name="常规 9 2 3 2" xfId="28981"/>
    <cellStyle name="常规 9 2 3 2 2" xfId="28982"/>
    <cellStyle name="常规 9 2 3 2 2 2" xfId="28983"/>
    <cellStyle name="常规 9 2 3 2 3" xfId="28984"/>
    <cellStyle name="常规 9 2 3 2 4" xfId="28985"/>
    <cellStyle name="常规 9 2 3 3" xfId="28986"/>
    <cellStyle name="常规 9 2 3 3 2" xfId="28987"/>
    <cellStyle name="常规 9 2 3 3 2 2" xfId="28988"/>
    <cellStyle name="常规 9 2 3 3 3" xfId="28989"/>
    <cellStyle name="常规 9 2 3 3 4" xfId="28990"/>
    <cellStyle name="常规 9 2 3 4" xfId="28991"/>
    <cellStyle name="常规 9 2 3 4 2" xfId="28992"/>
    <cellStyle name="常规 9 2 3 5" xfId="28993"/>
    <cellStyle name="常规 9 2 3 6" xfId="28994"/>
    <cellStyle name="常规 9 2 3 7" xfId="28995"/>
    <cellStyle name="常规 9 2 4" xfId="28996"/>
    <cellStyle name="常规 9 2 4 2" xfId="28997"/>
    <cellStyle name="常规 9 2 4 2 2" xfId="28998"/>
    <cellStyle name="常规 9 2 4 3" xfId="28999"/>
    <cellStyle name="常规 9 2 4 4" xfId="29000"/>
    <cellStyle name="常规 9 2 4 5" xfId="29001"/>
    <cellStyle name="常规 9 2 5" xfId="29002"/>
    <cellStyle name="常规 9 2 5 2" xfId="29003"/>
    <cellStyle name="常规 9 2 5 2 2" xfId="29004"/>
    <cellStyle name="常规 9 2 5 2 3" xfId="29005"/>
    <cellStyle name="常规 9 2 5 2 4" xfId="29006"/>
    <cellStyle name="常规 9 2 5 2 5" xfId="29007"/>
    <cellStyle name="常规 9 2 5 2 6" xfId="29008"/>
    <cellStyle name="常规 9 2 5 2 7" xfId="29009"/>
    <cellStyle name="常规 9 2 5 2 8" xfId="29010"/>
    <cellStyle name="常规 9 2 5 3" xfId="29011"/>
    <cellStyle name="常规 9 2 5 3 2" xfId="29012"/>
    <cellStyle name="常规 9 2 5 4" xfId="29013"/>
    <cellStyle name="常规 9 2 5 4 2" xfId="29014"/>
    <cellStyle name="常规 9 2 5 5" xfId="29015"/>
    <cellStyle name="常规 9 2 5 6" xfId="29016"/>
    <cellStyle name="常规 9 2 5 7" xfId="29017"/>
    <cellStyle name="常规 9 2 5 8" xfId="29018"/>
    <cellStyle name="常规 9 2 6" xfId="29019"/>
    <cellStyle name="常规 9 2 6 2" xfId="29020"/>
    <cellStyle name="常规 9 2 6 3" xfId="29021"/>
    <cellStyle name="常规 9 2 6 4" xfId="29022"/>
    <cellStyle name="常规 9 2 6 5" xfId="29023"/>
    <cellStyle name="常规 9 2 6 6" xfId="29024"/>
    <cellStyle name="常规 9 2 6 7" xfId="29025"/>
    <cellStyle name="常规 9 2 6 8" xfId="29026"/>
    <cellStyle name="常规 9 2 7" xfId="29027"/>
    <cellStyle name="常规 9 2 7 2" xfId="29028"/>
    <cellStyle name="常规 9 2 8" xfId="29029"/>
    <cellStyle name="常规 9 2 8 2" xfId="29030"/>
    <cellStyle name="常规 9 2 9" xfId="29031"/>
    <cellStyle name="常规 9 2 9 2" xfId="29032"/>
    <cellStyle name="常规 9 3" xfId="29033"/>
    <cellStyle name="常规 9 3 10" xfId="29034"/>
    <cellStyle name="常规 9 3 2" xfId="29035"/>
    <cellStyle name="常规 9 3 2 2" xfId="29036"/>
    <cellStyle name="常规 9 3 2 2 2" xfId="29037"/>
    <cellStyle name="常规 9 3 2 2 2 2" xfId="29038"/>
    <cellStyle name="常规 9 3 2 2 2 2 2" xfId="29039"/>
    <cellStyle name="常规 9 3 2 2 2 3" xfId="29040"/>
    <cellStyle name="常规 9 3 2 2 2 4" xfId="29041"/>
    <cellStyle name="常规 9 3 2 2 3" xfId="29042"/>
    <cellStyle name="常规 9 3 2 2 3 2" xfId="29043"/>
    <cellStyle name="常规 9 3 2 2 4" xfId="29044"/>
    <cellStyle name="常规 9 3 2 2 5" xfId="29045"/>
    <cellStyle name="常规 9 3 2 3" xfId="29046"/>
    <cellStyle name="常规 9 3 2 3 2" xfId="29047"/>
    <cellStyle name="常规 9 3 2 3 2 2" xfId="29048"/>
    <cellStyle name="常规 9 3 2 3 3" xfId="29049"/>
    <cellStyle name="常规 9 3 2 3 4" xfId="29050"/>
    <cellStyle name="常规 9 3 2 4" xfId="29051"/>
    <cellStyle name="常规 9 3 2 4 2" xfId="29052"/>
    <cellStyle name="常规 9 3 2 5" xfId="29053"/>
    <cellStyle name="常规 9 3 2 6" xfId="29054"/>
    <cellStyle name="常规 9 3 2 7" xfId="29055"/>
    <cellStyle name="常规 9 3 3" xfId="29056"/>
    <cellStyle name="常规 9 3 3 2" xfId="29057"/>
    <cellStyle name="常规 9 3 3 2 2" xfId="29058"/>
    <cellStyle name="常规 9 3 3 2 2 2" xfId="29059"/>
    <cellStyle name="常规 9 3 3 2 3" xfId="29060"/>
    <cellStyle name="常规 9 3 3 2 4" xfId="29061"/>
    <cellStyle name="常规 9 3 3 3" xfId="29062"/>
    <cellStyle name="常规 9 3 3 3 2" xfId="29063"/>
    <cellStyle name="常规 9 3 3 3 2 2" xfId="29064"/>
    <cellStyle name="常规 9 3 3 3 3" xfId="29065"/>
    <cellStyle name="常规 9 3 3 3 4" xfId="29066"/>
    <cellStyle name="常规 9 3 3 4" xfId="29067"/>
    <cellStyle name="常规 9 3 3 4 2" xfId="29068"/>
    <cellStyle name="常规 9 3 3 5" xfId="29069"/>
    <cellStyle name="常规 9 3 3 6" xfId="29070"/>
    <cellStyle name="常规 9 3 3 7" xfId="29071"/>
    <cellStyle name="常规 9 3 4" xfId="29072"/>
    <cellStyle name="常规 9 3 4 2" xfId="29073"/>
    <cellStyle name="常规 9 3 4 2 2" xfId="29074"/>
    <cellStyle name="常规 9 3 4 2 3" xfId="29075"/>
    <cellStyle name="常规 9 3 4 3" xfId="29076"/>
    <cellStyle name="常规 9 3 4 3 2" xfId="29077"/>
    <cellStyle name="常规 9 3 4 4" xfId="29078"/>
    <cellStyle name="常规 9 3 4 4 2" xfId="29079"/>
    <cellStyle name="常规 9 3 4 5" xfId="29080"/>
    <cellStyle name="常规 9 3 4 6" xfId="29081"/>
    <cellStyle name="常规 9 3 4 7" xfId="29082"/>
    <cellStyle name="常规 9 3 5" xfId="29083"/>
    <cellStyle name="常规 9 3 5 2" xfId="29084"/>
    <cellStyle name="常规 9 3 5 2 2" xfId="29085"/>
    <cellStyle name="常规 9 3 5 3" xfId="29086"/>
    <cellStyle name="常规 9 3 5 4" xfId="29087"/>
    <cellStyle name="常规 9 3 5 5" xfId="29088"/>
    <cellStyle name="常规 9 3 6" xfId="29089"/>
    <cellStyle name="常规 9 3 6 2" xfId="29090"/>
    <cellStyle name="常规 9 3 6 3" xfId="29091"/>
    <cellStyle name="常规 9 3 7" xfId="29092"/>
    <cellStyle name="常规 9 3 7 2" xfId="29093"/>
    <cellStyle name="常规 9 3 8" xfId="29094"/>
    <cellStyle name="常规 9 3 8 2" xfId="29095"/>
    <cellStyle name="常规 9 3 9" xfId="29096"/>
    <cellStyle name="常规 9 3 9 2" xfId="29097"/>
    <cellStyle name="常规 9 4" xfId="29098"/>
    <cellStyle name="常规 9 4 2" xfId="29099"/>
    <cellStyle name="常规 9 4 2 2" xfId="29100"/>
    <cellStyle name="常规 9 4 2 2 2" xfId="29101"/>
    <cellStyle name="常规 9 4 2 2 2 2" xfId="29102"/>
    <cellStyle name="常规 9 4 2 2 3" xfId="29103"/>
    <cellStyle name="常规 9 4 2 2 4" xfId="29104"/>
    <cellStyle name="常规 9 4 2 3" xfId="29105"/>
    <cellStyle name="常规 9 4 2 3 2" xfId="29106"/>
    <cellStyle name="常规 9 4 2 3 2 2" xfId="29107"/>
    <cellStyle name="常规 9 4 2 3 3" xfId="29108"/>
    <cellStyle name="常规 9 4 2 3 4" xfId="29109"/>
    <cellStyle name="常规 9 4 2 4" xfId="29110"/>
    <cellStyle name="常规 9 4 2 4 2" xfId="29111"/>
    <cellStyle name="常规 9 4 2 5" xfId="29112"/>
    <cellStyle name="常规 9 4 2 6" xfId="29113"/>
    <cellStyle name="常规 9 4 2 7" xfId="29114"/>
    <cellStyle name="常规 9 4 3" xfId="29115"/>
    <cellStyle name="常规 9 4 3 2" xfId="29116"/>
    <cellStyle name="常规 9 4 3 2 2" xfId="29117"/>
    <cellStyle name="常规 9 4 3 3" xfId="29118"/>
    <cellStyle name="常规 9 4 3 4" xfId="29119"/>
    <cellStyle name="常规 9 4 3 5" xfId="29120"/>
    <cellStyle name="常规 9 4 4" xfId="29121"/>
    <cellStyle name="常规 9 4 4 2" xfId="29122"/>
    <cellStyle name="常规 9 4 4 2 2" xfId="29123"/>
    <cellStyle name="常规 9 4 4 3" xfId="29124"/>
    <cellStyle name="常规 9 4 4 4" xfId="29125"/>
    <cellStyle name="常规 9 4 4 5" xfId="29126"/>
    <cellStyle name="常规 9 4 5" xfId="29127"/>
    <cellStyle name="常规 9 4 5 2" xfId="29128"/>
    <cellStyle name="常规 9 4 6" xfId="29129"/>
    <cellStyle name="常规 9 4 7" xfId="29130"/>
    <cellStyle name="常规 9 4 8" xfId="29131"/>
    <cellStyle name="常规 9 4 9" xfId="29132"/>
    <cellStyle name="常规 9 5" xfId="29133"/>
    <cellStyle name="常规 9 5 2" xfId="29134"/>
    <cellStyle name="常规 9 5 2 2" xfId="29135"/>
    <cellStyle name="常规 9 5 2 2 2" xfId="29136"/>
    <cellStyle name="常规 9 5 2 3" xfId="29137"/>
    <cellStyle name="常规 9 5 2 4" xfId="29138"/>
    <cellStyle name="常规 9 5 3" xfId="29139"/>
    <cellStyle name="常规 9 5 3 2" xfId="29140"/>
    <cellStyle name="常规 9 5 4" xfId="29141"/>
    <cellStyle name="常规 9 5 4 2" xfId="29142"/>
    <cellStyle name="常规 9 5 5" xfId="29143"/>
    <cellStyle name="常规 9 5 6" xfId="29144"/>
    <cellStyle name="常规 9 5 7" xfId="29145"/>
    <cellStyle name="常规 9 6" xfId="29146"/>
    <cellStyle name="常规 9 6 2" xfId="29147"/>
    <cellStyle name="常规 9 6 3" xfId="29148"/>
    <cellStyle name="常规 9 6 3 2" xfId="29149"/>
    <cellStyle name="常规 9 6 4" xfId="29150"/>
    <cellStyle name="常规 9 6 5" xfId="29151"/>
    <cellStyle name="常规 9 6 6" xfId="29152"/>
    <cellStyle name="常规 9 7" xfId="29153"/>
    <cellStyle name="常规 9 7 2" xfId="29154"/>
    <cellStyle name="常规 9 7 2 2" xfId="29155"/>
    <cellStyle name="常规 9 7 3" xfId="29156"/>
    <cellStyle name="常规 9 7 4" xfId="29157"/>
    <cellStyle name="常规 9 7 5" xfId="29158"/>
    <cellStyle name="常规 9 8" xfId="29159"/>
    <cellStyle name="常规 9 8 2" xfId="29160"/>
    <cellStyle name="常规 9 8 2 2" xfId="29161"/>
    <cellStyle name="常规 9 8 3" xfId="29162"/>
    <cellStyle name="常规 9 8 4" xfId="29163"/>
    <cellStyle name="常规 9 8 5" xfId="29164"/>
    <cellStyle name="常规 9 9" xfId="29165"/>
    <cellStyle name="常规 9 9 2" xfId="29166"/>
    <cellStyle name="常规 9 9 3" xfId="29167"/>
    <cellStyle name="常规 9 9 4" xfId="29168"/>
    <cellStyle name="常规 9 9 5" xfId="29169"/>
    <cellStyle name="常规 9 9 6" xfId="29170"/>
    <cellStyle name="常规 9 9 7" xfId="29171"/>
    <cellStyle name="常规 9 9 8" xfId="29172"/>
    <cellStyle name="常规 90" xfId="29173"/>
    <cellStyle name="常规 90 2" xfId="29174"/>
    <cellStyle name="常规 90 2 2" xfId="29175"/>
    <cellStyle name="常规 90 3" xfId="29176"/>
    <cellStyle name="常规 90 4" xfId="29177"/>
    <cellStyle name="常规 90 5" xfId="29178"/>
    <cellStyle name="常规 91" xfId="29179"/>
    <cellStyle name="常规 91 2" xfId="29180"/>
    <cellStyle name="常规 91 2 2" xfId="29181"/>
    <cellStyle name="常规 91 3" xfId="29182"/>
    <cellStyle name="常规 91 4" xfId="29183"/>
    <cellStyle name="常规 91 5" xfId="29184"/>
    <cellStyle name="常规 92" xfId="29185"/>
    <cellStyle name="常规 92 2" xfId="29186"/>
    <cellStyle name="常规 92 2 2" xfId="29187"/>
    <cellStyle name="常规 92 3" xfId="29188"/>
    <cellStyle name="常规 92 4" xfId="29189"/>
    <cellStyle name="常规 92 5" xfId="29190"/>
    <cellStyle name="常规 93" xfId="29191"/>
    <cellStyle name="常规 93 2" xfId="29192"/>
    <cellStyle name="常规 93 2 2" xfId="29193"/>
    <cellStyle name="常规 93 3" xfId="29194"/>
    <cellStyle name="常规 93 4" xfId="29195"/>
    <cellStyle name="常规 93 5" xfId="29196"/>
    <cellStyle name="常规 94" xfId="29197"/>
    <cellStyle name="常规 94 2" xfId="29198"/>
    <cellStyle name="常规 94 2 2" xfId="29199"/>
    <cellStyle name="常规 94 3" xfId="29200"/>
    <cellStyle name="常规 94 4" xfId="29201"/>
    <cellStyle name="常规 94 5" xfId="29202"/>
    <cellStyle name="常规 95" xfId="29203"/>
    <cellStyle name="常规 95 2" xfId="29204"/>
    <cellStyle name="常规 95 2 2" xfId="29205"/>
    <cellStyle name="常规 95 3" xfId="29206"/>
    <cellStyle name="常规 95 4" xfId="29207"/>
    <cellStyle name="常规 95 5" xfId="29208"/>
    <cellStyle name="常规 96" xfId="29209"/>
    <cellStyle name="常规 96 2" xfId="29210"/>
    <cellStyle name="常规 96 2 2" xfId="29211"/>
    <cellStyle name="常规 96 3" xfId="29212"/>
    <cellStyle name="常规 96 4" xfId="29213"/>
    <cellStyle name="常规 96 5" xfId="29214"/>
    <cellStyle name="常规 97" xfId="29215"/>
    <cellStyle name="常规 97 2" xfId="29216"/>
    <cellStyle name="常规 97 2 2" xfId="29217"/>
    <cellStyle name="常规 97 3" xfId="29218"/>
    <cellStyle name="常规 97 4" xfId="29219"/>
    <cellStyle name="常规 97 5" xfId="29220"/>
    <cellStyle name="常规 98" xfId="29221"/>
    <cellStyle name="常规 99" xfId="29222"/>
    <cellStyle name="常规 99 2" xfId="29223"/>
    <cellStyle name="超链接 2" xfId="29224"/>
    <cellStyle name="超链接 2 2" xfId="29225"/>
    <cellStyle name="超链接 2 3" xfId="29226"/>
    <cellStyle name="超链接 3" xfId="29227"/>
    <cellStyle name="超链接 3 2" xfId="29228"/>
    <cellStyle name="超链接 3 2 2" xfId="29229"/>
    <cellStyle name="超链接 3 2 3" xfId="29230"/>
    <cellStyle name="超链接 3 3" xfId="29231"/>
    <cellStyle name="超链接 4" xfId="29232"/>
    <cellStyle name="超链接 4 2" xfId="29233"/>
    <cellStyle name="超链接 4 3" xfId="29234"/>
    <cellStyle name="超链接 5" xfId="29235"/>
    <cellStyle name="好 2" xfId="29236"/>
    <cellStyle name="好 2 2" xfId="29237"/>
    <cellStyle name="好 3" xfId="29238"/>
    <cellStyle name="汇总 2" xfId="29239"/>
    <cellStyle name="汇总 2 2" xfId="29240"/>
    <cellStyle name="汇总 2 2 2" xfId="29241"/>
    <cellStyle name="汇总 2 2 2 2" xfId="29242"/>
    <cellStyle name="汇总 2 2 2 2 2" xfId="29243"/>
    <cellStyle name="汇总 2 2 2 2 2 2" xfId="29244"/>
    <cellStyle name="汇总 2 2 2 2 2 2 2" xfId="29245"/>
    <cellStyle name="汇总 2 2 2 2 2 3" xfId="29246"/>
    <cellStyle name="汇总 2 2 2 2 3" xfId="29247"/>
    <cellStyle name="汇总 2 2 2 2 3 2" xfId="29248"/>
    <cellStyle name="汇总 2 2 2 2 4" xfId="29249"/>
    <cellStyle name="汇总 2 2 2 3" xfId="29250"/>
    <cellStyle name="汇总 2 2 2 3 2" xfId="29251"/>
    <cellStyle name="汇总 2 2 2 3 2 2" xfId="29252"/>
    <cellStyle name="汇总 2 2 2 3 3" xfId="29253"/>
    <cellStyle name="汇总 2 2 2 4" xfId="29254"/>
    <cellStyle name="汇总 2 2 2 4 2" xfId="29255"/>
    <cellStyle name="汇总 2 2 2 4 2 2" xfId="29256"/>
    <cellStyle name="汇总 2 2 2 4 3" xfId="29257"/>
    <cellStyle name="汇总 2 2 2 5" xfId="29258"/>
    <cellStyle name="汇总 2 2 2 5 2" xfId="29259"/>
    <cellStyle name="汇总 2 2 2 6" xfId="29260"/>
    <cellStyle name="汇总 2 2 3" xfId="29261"/>
    <cellStyle name="汇总 2 2 3 2" xfId="29262"/>
    <cellStyle name="汇总 2 2 3 2 2" xfId="29263"/>
    <cellStyle name="汇总 2 2 3 2 2 2" xfId="29264"/>
    <cellStyle name="汇总 2 2 3 2 3" xfId="29265"/>
    <cellStyle name="汇总 2 2 3 3" xfId="29266"/>
    <cellStyle name="汇总 2 2 3 3 2" xfId="29267"/>
    <cellStyle name="汇总 2 2 3 3 2 2" xfId="29268"/>
    <cellStyle name="汇总 2 2 3 3 3" xfId="29269"/>
    <cellStyle name="汇总 2 2 3 4" xfId="29270"/>
    <cellStyle name="汇总 2 2 3 4 2" xfId="29271"/>
    <cellStyle name="汇总 2 2 3 5" xfId="29272"/>
    <cellStyle name="汇总 2 2 4" xfId="29273"/>
    <cellStyle name="汇总 2 2 4 2" xfId="29274"/>
    <cellStyle name="汇总 2 2 4 2 2" xfId="29275"/>
    <cellStyle name="汇总 2 2 4 2 2 2" xfId="29276"/>
    <cellStyle name="汇总 2 2 4 2 3" xfId="29277"/>
    <cellStyle name="汇总 2 2 4 3" xfId="29278"/>
    <cellStyle name="汇总 2 2 4 3 2" xfId="29279"/>
    <cellStyle name="汇总 2 2 4 4" xfId="29280"/>
    <cellStyle name="汇总 2 2 5" xfId="29281"/>
    <cellStyle name="汇总 2 2 5 2" xfId="29282"/>
    <cellStyle name="汇总 2 2 5 2 2" xfId="29283"/>
    <cellStyle name="汇总 2 2 5 3" xfId="29284"/>
    <cellStyle name="汇总 2 2 6" xfId="29285"/>
    <cellStyle name="汇总 2 2 6 2" xfId="29286"/>
    <cellStyle name="汇总 2 2 6 2 2" xfId="29287"/>
    <cellStyle name="汇总 2 2 6 3" xfId="29288"/>
    <cellStyle name="汇总 2 2 7" xfId="29289"/>
    <cellStyle name="汇总 2 2 7 2" xfId="29290"/>
    <cellStyle name="汇总 2 2 8" xfId="29291"/>
    <cellStyle name="汇总 2 3" xfId="29292"/>
    <cellStyle name="汇总 2 3 2" xfId="29293"/>
    <cellStyle name="汇总 2 3 2 2" xfId="29294"/>
    <cellStyle name="汇总 2 3 2 2 2" xfId="29295"/>
    <cellStyle name="汇总 2 3 2 2 2 2" xfId="29296"/>
    <cellStyle name="汇总 2 3 2 2 3" xfId="29297"/>
    <cellStyle name="汇总 2 3 2 3" xfId="29298"/>
    <cellStyle name="汇总 2 3 2 3 2" xfId="29299"/>
    <cellStyle name="汇总 2 3 2 4" xfId="29300"/>
    <cellStyle name="汇总 2 3 3" xfId="29301"/>
    <cellStyle name="汇总 2 3 3 2" xfId="29302"/>
    <cellStyle name="汇总 2 3 3 2 2" xfId="29303"/>
    <cellStyle name="汇总 2 3 3 3" xfId="29304"/>
    <cellStyle name="汇总 2 3 4" xfId="29305"/>
    <cellStyle name="汇总 2 3 4 2" xfId="29306"/>
    <cellStyle name="汇总 2 3 4 2 2" xfId="29307"/>
    <cellStyle name="汇总 2 3 4 3" xfId="29308"/>
    <cellStyle name="汇总 2 3 5" xfId="29309"/>
    <cellStyle name="汇总 2 3 5 2" xfId="29310"/>
    <cellStyle name="汇总 2 3 6" xfId="29311"/>
    <cellStyle name="汇总 2 4" xfId="29312"/>
    <cellStyle name="汇总 2 4 2" xfId="29313"/>
    <cellStyle name="汇总 2 4 2 2" xfId="29314"/>
    <cellStyle name="汇总 2 4 2 2 2" xfId="29315"/>
    <cellStyle name="汇总 2 4 2 3" xfId="29316"/>
    <cellStyle name="汇总 2 4 3" xfId="29317"/>
    <cellStyle name="汇总 2 4 3 2" xfId="29318"/>
    <cellStyle name="汇总 2 4 3 2 2" xfId="29319"/>
    <cellStyle name="汇总 2 4 3 3" xfId="29320"/>
    <cellStyle name="汇总 2 4 4" xfId="29321"/>
    <cellStyle name="汇总 2 4 4 2" xfId="29322"/>
    <cellStyle name="汇总 2 4 5" xfId="29323"/>
    <cellStyle name="汇总 2 5" xfId="29324"/>
    <cellStyle name="汇总 2 5 2" xfId="29325"/>
    <cellStyle name="汇总 2 5 2 2" xfId="29326"/>
    <cellStyle name="汇总 2 5 2 2 2" xfId="29327"/>
    <cellStyle name="汇总 2 5 2 3" xfId="29328"/>
    <cellStyle name="汇总 2 5 3" xfId="29329"/>
    <cellStyle name="汇总 2 5 3 2" xfId="29330"/>
    <cellStyle name="汇总 2 5 4" xfId="29331"/>
    <cellStyle name="汇总 2 6" xfId="29332"/>
    <cellStyle name="汇总 2 6 2" xfId="29333"/>
    <cellStyle name="汇总 2 6 2 2" xfId="29334"/>
    <cellStyle name="汇总 2 6 3" xfId="29335"/>
    <cellStyle name="汇总 2 7" xfId="29336"/>
    <cellStyle name="汇总 2 7 2" xfId="29337"/>
    <cellStyle name="汇总 2 7 2 2" xfId="29338"/>
    <cellStyle name="汇总 2 7 3" xfId="29339"/>
    <cellStyle name="汇总 2 8" xfId="29340"/>
    <cellStyle name="汇总 2 8 2" xfId="29341"/>
    <cellStyle name="汇总 2 9" xfId="29342"/>
    <cellStyle name="汇总 3" xfId="29343"/>
    <cellStyle name="汇总 3 2" xfId="29344"/>
    <cellStyle name="汇总 3 2 2" xfId="29345"/>
    <cellStyle name="汇总 3 2 2 2" xfId="29346"/>
    <cellStyle name="汇总 3 2 2 2 2" xfId="29347"/>
    <cellStyle name="汇总 3 2 2 2 2 2" xfId="29348"/>
    <cellStyle name="汇总 3 2 2 2 3" xfId="29349"/>
    <cellStyle name="汇总 3 2 2 3" xfId="29350"/>
    <cellStyle name="汇总 3 2 2 3 2" xfId="29351"/>
    <cellStyle name="汇总 3 2 2 4" xfId="29352"/>
    <cellStyle name="汇总 3 2 3" xfId="29353"/>
    <cellStyle name="汇总 3 2 3 2" xfId="29354"/>
    <cellStyle name="汇总 3 2 3 2 2" xfId="29355"/>
    <cellStyle name="汇总 3 2 3 3" xfId="29356"/>
    <cellStyle name="汇总 3 2 4" xfId="29357"/>
    <cellStyle name="汇总 3 2 4 2" xfId="29358"/>
    <cellStyle name="汇总 3 2 4 2 2" xfId="29359"/>
    <cellStyle name="汇总 3 2 4 3" xfId="29360"/>
    <cellStyle name="汇总 3 2 5" xfId="29361"/>
    <cellStyle name="汇总 3 2 5 2" xfId="29362"/>
    <cellStyle name="汇总 3 2 6" xfId="29363"/>
    <cellStyle name="汇总 3 3" xfId="29364"/>
    <cellStyle name="汇总 3 3 2" xfId="29365"/>
    <cellStyle name="汇总 3 3 2 2" xfId="29366"/>
    <cellStyle name="汇总 3 3 2 2 2" xfId="29367"/>
    <cellStyle name="汇总 3 3 2 3" xfId="29368"/>
    <cellStyle name="汇总 3 3 3" xfId="29369"/>
    <cellStyle name="汇总 3 3 3 2" xfId="29370"/>
    <cellStyle name="汇总 3 3 3 2 2" xfId="29371"/>
    <cellStyle name="汇总 3 3 3 3" xfId="29372"/>
    <cellStyle name="汇总 3 3 4" xfId="29373"/>
    <cellStyle name="汇总 3 3 4 2" xfId="29374"/>
    <cellStyle name="汇总 3 3 5" xfId="29375"/>
    <cellStyle name="汇总 3 4" xfId="29376"/>
    <cellStyle name="汇总 3 4 2" xfId="29377"/>
    <cellStyle name="汇总 3 4 2 2" xfId="29378"/>
    <cellStyle name="汇总 3 4 2 2 2" xfId="29379"/>
    <cellStyle name="汇总 3 4 2 3" xfId="29380"/>
    <cellStyle name="汇总 3 4 3" xfId="29381"/>
    <cellStyle name="汇总 3 4 3 2" xfId="29382"/>
    <cellStyle name="汇总 3 4 4" xfId="29383"/>
    <cellStyle name="汇总 3 5" xfId="29384"/>
    <cellStyle name="汇总 3 5 2" xfId="29385"/>
    <cellStyle name="汇总 3 5 2 2" xfId="29386"/>
    <cellStyle name="汇总 3 5 3" xfId="29387"/>
    <cellStyle name="汇总 3 6" xfId="29388"/>
    <cellStyle name="汇总 3 6 2" xfId="29389"/>
    <cellStyle name="汇总 3 6 2 2" xfId="29390"/>
    <cellStyle name="汇总 3 6 3" xfId="29391"/>
    <cellStyle name="汇总 3 7" xfId="29392"/>
    <cellStyle name="汇总 3 7 2" xfId="29393"/>
    <cellStyle name="汇总 3 8" xfId="29394"/>
    <cellStyle name="计算 2" xfId="29395"/>
    <cellStyle name="计算 2 2" xfId="29396"/>
    <cellStyle name="计算 2 2 2" xfId="29397"/>
    <cellStyle name="计算 2 2 2 2" xfId="29398"/>
    <cellStyle name="计算 2 2 2 2 2" xfId="29399"/>
    <cellStyle name="计算 2 2 2 2 2 2" xfId="29400"/>
    <cellStyle name="计算 2 2 2 2 2 2 2" xfId="29401"/>
    <cellStyle name="计算 2 2 2 2 2 3" xfId="29402"/>
    <cellStyle name="计算 2 2 2 2 3" xfId="29403"/>
    <cellStyle name="计算 2 2 2 2 3 2" xfId="29404"/>
    <cellStyle name="计算 2 2 2 2 4" xfId="29405"/>
    <cellStyle name="计算 2 2 2 3" xfId="29406"/>
    <cellStyle name="计算 2 2 2 3 2" xfId="29407"/>
    <cellStyle name="计算 2 2 2 3 2 2" xfId="29408"/>
    <cellStyle name="计算 2 2 2 3 3" xfId="29409"/>
    <cellStyle name="计算 2 2 2 4" xfId="29410"/>
    <cellStyle name="计算 2 2 2 4 2" xfId="29411"/>
    <cellStyle name="计算 2 2 2 4 2 2" xfId="29412"/>
    <cellStyle name="计算 2 2 2 4 3" xfId="29413"/>
    <cellStyle name="计算 2 2 2 5" xfId="29414"/>
    <cellStyle name="计算 2 2 2 5 2" xfId="29415"/>
    <cellStyle name="计算 2 2 2 6" xfId="29416"/>
    <cellStyle name="计算 2 2 3" xfId="29417"/>
    <cellStyle name="计算 2 2 3 2" xfId="29418"/>
    <cellStyle name="计算 2 2 3 2 2" xfId="29419"/>
    <cellStyle name="计算 2 2 3 2 2 2" xfId="29420"/>
    <cellStyle name="计算 2 2 3 2 3" xfId="29421"/>
    <cellStyle name="计算 2 2 3 3" xfId="29422"/>
    <cellStyle name="计算 2 2 3 3 2" xfId="29423"/>
    <cellStyle name="计算 2 2 3 3 2 2" xfId="29424"/>
    <cellStyle name="计算 2 2 3 3 3" xfId="29425"/>
    <cellStyle name="计算 2 2 3 4" xfId="29426"/>
    <cellStyle name="计算 2 2 3 4 2" xfId="29427"/>
    <cellStyle name="计算 2 2 3 5" xfId="29428"/>
    <cellStyle name="计算 2 2 4" xfId="29429"/>
    <cellStyle name="计算 2 2 4 2" xfId="29430"/>
    <cellStyle name="计算 2 2 4 2 2" xfId="29431"/>
    <cellStyle name="计算 2 2 4 2 2 2" xfId="29432"/>
    <cellStyle name="计算 2 2 4 2 3" xfId="29433"/>
    <cellStyle name="计算 2 2 4 3" xfId="29434"/>
    <cellStyle name="计算 2 2 4 3 2" xfId="29435"/>
    <cellStyle name="计算 2 2 4 4" xfId="29436"/>
    <cellStyle name="计算 2 2 5" xfId="29437"/>
    <cellStyle name="计算 2 2 5 2" xfId="29438"/>
    <cellStyle name="计算 2 2 5 2 2" xfId="29439"/>
    <cellStyle name="计算 2 2 5 3" xfId="29440"/>
    <cellStyle name="计算 2 2 6" xfId="29441"/>
    <cellStyle name="计算 2 2 6 2" xfId="29442"/>
    <cellStyle name="计算 2 2 6 2 2" xfId="29443"/>
    <cellStyle name="计算 2 2 6 3" xfId="29444"/>
    <cellStyle name="计算 2 2 7" xfId="29445"/>
    <cellStyle name="计算 2 2 7 2" xfId="29446"/>
    <cellStyle name="计算 2 2 8" xfId="29447"/>
    <cellStyle name="计算 2 3" xfId="29448"/>
    <cellStyle name="计算 2 3 2" xfId="29449"/>
    <cellStyle name="计算 2 3 2 2" xfId="29450"/>
    <cellStyle name="计算 2 3 2 2 2" xfId="29451"/>
    <cellStyle name="计算 2 3 2 2 2 2" xfId="29452"/>
    <cellStyle name="计算 2 3 2 2 3" xfId="29453"/>
    <cellStyle name="计算 2 3 2 3" xfId="29454"/>
    <cellStyle name="计算 2 3 2 3 2" xfId="29455"/>
    <cellStyle name="计算 2 3 2 4" xfId="29456"/>
    <cellStyle name="计算 2 3 3" xfId="29457"/>
    <cellStyle name="计算 2 3 3 2" xfId="29458"/>
    <cellStyle name="计算 2 3 3 2 2" xfId="29459"/>
    <cellStyle name="计算 2 3 3 3" xfId="29460"/>
    <cellStyle name="计算 2 3 4" xfId="29461"/>
    <cellStyle name="计算 2 3 4 2" xfId="29462"/>
    <cellStyle name="计算 2 3 4 2 2" xfId="29463"/>
    <cellStyle name="计算 2 3 4 3" xfId="29464"/>
    <cellStyle name="计算 2 3 5" xfId="29465"/>
    <cellStyle name="计算 2 3 5 2" xfId="29466"/>
    <cellStyle name="计算 2 3 6" xfId="29467"/>
    <cellStyle name="计算 2 4" xfId="29468"/>
    <cellStyle name="计算 2 4 2" xfId="29469"/>
    <cellStyle name="计算 2 4 2 2" xfId="29470"/>
    <cellStyle name="计算 2 4 2 2 2" xfId="29471"/>
    <cellStyle name="计算 2 4 2 3" xfId="29472"/>
    <cellStyle name="计算 2 4 3" xfId="29473"/>
    <cellStyle name="计算 2 4 3 2" xfId="29474"/>
    <cellStyle name="计算 2 4 3 2 2" xfId="29475"/>
    <cellStyle name="计算 2 4 3 3" xfId="29476"/>
    <cellStyle name="计算 2 4 4" xfId="29477"/>
    <cellStyle name="计算 2 4 4 2" xfId="29478"/>
    <cellStyle name="计算 2 4 5" xfId="29479"/>
    <cellStyle name="计算 2 5" xfId="29480"/>
    <cellStyle name="计算 2 5 2" xfId="29481"/>
    <cellStyle name="计算 2 5 2 2" xfId="29482"/>
    <cellStyle name="计算 2 5 2 2 2" xfId="29483"/>
    <cellStyle name="计算 2 5 2 3" xfId="29484"/>
    <cellStyle name="计算 2 5 3" xfId="29485"/>
    <cellStyle name="计算 2 5 3 2" xfId="29486"/>
    <cellStyle name="计算 2 5 4" xfId="29487"/>
    <cellStyle name="计算 2 6" xfId="29488"/>
    <cellStyle name="计算 2 6 2" xfId="29489"/>
    <cellStyle name="计算 2 6 2 2" xfId="29490"/>
    <cellStyle name="计算 2 6 3" xfId="29491"/>
    <cellStyle name="计算 2 7" xfId="29492"/>
    <cellStyle name="计算 2 7 2" xfId="29493"/>
    <cellStyle name="计算 2 7 2 2" xfId="29494"/>
    <cellStyle name="计算 2 7 3" xfId="29495"/>
    <cellStyle name="计算 2 8" xfId="29496"/>
    <cellStyle name="计算 2 8 2" xfId="29497"/>
    <cellStyle name="计算 2 9" xfId="29498"/>
    <cellStyle name="计算 3" xfId="29499"/>
    <cellStyle name="计算 3 2" xfId="29500"/>
    <cellStyle name="计算 3 2 2" xfId="29501"/>
    <cellStyle name="计算 3 2 2 2" xfId="29502"/>
    <cellStyle name="计算 3 2 2 2 2" xfId="29503"/>
    <cellStyle name="计算 3 2 2 2 2 2" xfId="29504"/>
    <cellStyle name="计算 3 2 2 2 3" xfId="29505"/>
    <cellStyle name="计算 3 2 2 3" xfId="29506"/>
    <cellStyle name="计算 3 2 2 3 2" xfId="29507"/>
    <cellStyle name="计算 3 2 2 4" xfId="29508"/>
    <cellStyle name="计算 3 2 3" xfId="29509"/>
    <cellStyle name="计算 3 2 3 2" xfId="29510"/>
    <cellStyle name="计算 3 2 3 2 2" xfId="29511"/>
    <cellStyle name="计算 3 2 3 3" xfId="29512"/>
    <cellStyle name="计算 3 2 4" xfId="29513"/>
    <cellStyle name="计算 3 2 4 2" xfId="29514"/>
    <cellStyle name="计算 3 2 4 2 2" xfId="29515"/>
    <cellStyle name="计算 3 2 4 3" xfId="29516"/>
    <cellStyle name="计算 3 2 5" xfId="29517"/>
    <cellStyle name="计算 3 2 5 2" xfId="29518"/>
    <cellStyle name="计算 3 2 6" xfId="29519"/>
    <cellStyle name="计算 3 3" xfId="29520"/>
    <cellStyle name="计算 3 3 2" xfId="29521"/>
    <cellStyle name="计算 3 3 2 2" xfId="29522"/>
    <cellStyle name="计算 3 3 2 2 2" xfId="29523"/>
    <cellStyle name="计算 3 3 2 3" xfId="29524"/>
    <cellStyle name="计算 3 3 3" xfId="29525"/>
    <cellStyle name="计算 3 3 3 2" xfId="29526"/>
    <cellStyle name="计算 3 3 3 2 2" xfId="29527"/>
    <cellStyle name="计算 3 3 3 3" xfId="29528"/>
    <cellStyle name="计算 3 3 4" xfId="29529"/>
    <cellStyle name="计算 3 3 4 2" xfId="29530"/>
    <cellStyle name="计算 3 3 5" xfId="29531"/>
    <cellStyle name="计算 3 4" xfId="29532"/>
    <cellStyle name="计算 3 4 2" xfId="29533"/>
    <cellStyle name="计算 3 4 2 2" xfId="29534"/>
    <cellStyle name="计算 3 4 2 2 2" xfId="29535"/>
    <cellStyle name="计算 3 4 2 3" xfId="29536"/>
    <cellStyle name="计算 3 4 3" xfId="29537"/>
    <cellStyle name="计算 3 4 3 2" xfId="29538"/>
    <cellStyle name="计算 3 4 4" xfId="29539"/>
    <cellStyle name="计算 3 5" xfId="29540"/>
    <cellStyle name="计算 3 5 2" xfId="29541"/>
    <cellStyle name="计算 3 5 2 2" xfId="29542"/>
    <cellStyle name="计算 3 5 3" xfId="29543"/>
    <cellStyle name="计算 3 6" xfId="29544"/>
    <cellStyle name="计算 3 6 2" xfId="29545"/>
    <cellStyle name="计算 3 6 2 2" xfId="29546"/>
    <cellStyle name="计算 3 6 3" xfId="29547"/>
    <cellStyle name="计算 3 7" xfId="29548"/>
    <cellStyle name="计算 3 7 2" xfId="29549"/>
    <cellStyle name="计算 3 8" xfId="29550"/>
    <cellStyle name="检查单元格 2" xfId="29551"/>
    <cellStyle name="检查单元格 2 2" xfId="29552"/>
    <cellStyle name="检查单元格 3" xfId="29553"/>
    <cellStyle name="解释性文本 2" xfId="29554"/>
    <cellStyle name="解释性文本 2 2" xfId="29555"/>
    <cellStyle name="解释性文本 3" xfId="29556"/>
    <cellStyle name="警告文本 2" xfId="29557"/>
    <cellStyle name="警告文本 2 2" xfId="29558"/>
    <cellStyle name="警告文本 3" xfId="29559"/>
    <cellStyle name="链接单元格 2" xfId="29560"/>
    <cellStyle name="链接单元格 2 2" xfId="29561"/>
    <cellStyle name="链接单元格 3" xfId="29562"/>
    <cellStyle name="千位分隔 10" xfId="29563"/>
    <cellStyle name="千位分隔 10 2" xfId="29564"/>
    <cellStyle name="千位分隔 10 3" xfId="29565"/>
    <cellStyle name="千位分隔 10 4" xfId="29566"/>
    <cellStyle name="千位分隔 10 5" xfId="29567"/>
    <cellStyle name="千位分隔 11" xfId="29568"/>
    <cellStyle name="千位分隔 11 2" xfId="29569"/>
    <cellStyle name="千位分隔 11 3" xfId="29570"/>
    <cellStyle name="千位分隔 11 4" xfId="29571"/>
    <cellStyle name="千位分隔 11 5" xfId="29572"/>
    <cellStyle name="千位分隔 12" xfId="29573"/>
    <cellStyle name="千位分隔 12 2" xfId="29574"/>
    <cellStyle name="千位分隔 12 3" xfId="29575"/>
    <cellStyle name="千位分隔 12 4" xfId="29576"/>
    <cellStyle name="千位分隔 12 5" xfId="29577"/>
    <cellStyle name="千位分隔 13" xfId="29578"/>
    <cellStyle name="千位分隔 13 2" xfId="29579"/>
    <cellStyle name="千位分隔 13 3" xfId="29580"/>
    <cellStyle name="千位分隔 13 4" xfId="29581"/>
    <cellStyle name="千位分隔 13 5" xfId="29582"/>
    <cellStyle name="千位分隔 14" xfId="29583"/>
    <cellStyle name="千位分隔 14 2" xfId="29584"/>
    <cellStyle name="千位分隔 14 3" xfId="29585"/>
    <cellStyle name="千位分隔 14 4" xfId="29586"/>
    <cellStyle name="千位分隔 14 5" xfId="29587"/>
    <cellStyle name="千位分隔 15" xfId="29588"/>
    <cellStyle name="千位分隔 15 2" xfId="29589"/>
    <cellStyle name="千位分隔 15 2 2" xfId="29590"/>
    <cellStyle name="千位分隔 15 2 2 2" xfId="29591"/>
    <cellStyle name="千位分隔 15 2 2 2 2" xfId="29592"/>
    <cellStyle name="千位分隔 15 2 2 3" xfId="29593"/>
    <cellStyle name="千位分隔 15 2 2 4" xfId="29594"/>
    <cellStyle name="千位分隔 15 2 2 5" xfId="29595"/>
    <cellStyle name="千位分隔 15 2 2 6" xfId="29596"/>
    <cellStyle name="千位分隔 15 2 3" xfId="29597"/>
    <cellStyle name="千位分隔 15 2 3 2" xfId="29598"/>
    <cellStyle name="千位分隔 15 2 4" xfId="29599"/>
    <cellStyle name="千位分隔 15 2 5" xfId="29600"/>
    <cellStyle name="千位分隔 15 2 6" xfId="29601"/>
    <cellStyle name="千位分隔 15 2 7" xfId="29602"/>
    <cellStyle name="千位分隔 15 3" xfId="29603"/>
    <cellStyle name="千位分隔 15 3 2" xfId="29604"/>
    <cellStyle name="千位分隔 15 3 2 2" xfId="29605"/>
    <cellStyle name="千位分隔 15 3 3" xfId="29606"/>
    <cellStyle name="千位分隔 15 3 4" xfId="29607"/>
    <cellStyle name="千位分隔 15 3 5" xfId="29608"/>
    <cellStyle name="千位分隔 15 3 6" xfId="29609"/>
    <cellStyle name="千位分隔 15 4" xfId="29610"/>
    <cellStyle name="千位分隔 15 4 2" xfId="29611"/>
    <cellStyle name="千位分隔 15 5" xfId="29612"/>
    <cellStyle name="千位分隔 15 6" xfId="29613"/>
    <cellStyle name="千位分隔 15 7" xfId="29614"/>
    <cellStyle name="千位分隔 15 8" xfId="29615"/>
    <cellStyle name="千位分隔 16" xfId="29616"/>
    <cellStyle name="千位分隔 16 2" xfId="29617"/>
    <cellStyle name="千位分隔 16 2 2" xfId="29618"/>
    <cellStyle name="千位分隔 16 2 2 2" xfId="29619"/>
    <cellStyle name="千位分隔 16 2 3" xfId="29620"/>
    <cellStyle name="千位分隔 16 2 4" xfId="29621"/>
    <cellStyle name="千位分隔 16 2 5" xfId="29622"/>
    <cellStyle name="千位分隔 16 2 6" xfId="29623"/>
    <cellStyle name="千位分隔 16 3" xfId="29624"/>
    <cellStyle name="千位分隔 16 3 2" xfId="29625"/>
    <cellStyle name="千位分隔 16 4" xfId="29626"/>
    <cellStyle name="千位分隔 16 5" xfId="29627"/>
    <cellStyle name="千位分隔 16 6" xfId="29628"/>
    <cellStyle name="千位分隔 16 7" xfId="29629"/>
    <cellStyle name="千位分隔 17" xfId="29630"/>
    <cellStyle name="千位分隔 17 2" xfId="29631"/>
    <cellStyle name="千位分隔 17 2 2" xfId="29632"/>
    <cellStyle name="千位分隔 17 3" xfId="29633"/>
    <cellStyle name="千位分隔 17 4" xfId="29634"/>
    <cellStyle name="千位分隔 17 5" xfId="29635"/>
    <cellStyle name="千位分隔 17 6" xfId="29636"/>
    <cellStyle name="千位分隔 17 7" xfId="29637"/>
    <cellStyle name="千位分隔 18" xfId="29638"/>
    <cellStyle name="千位分隔 18 2" xfId="29639"/>
    <cellStyle name="千位分隔 18 3" xfId="29640"/>
    <cellStyle name="千位分隔 18 4" xfId="29641"/>
    <cellStyle name="千位分隔 19" xfId="29642"/>
    <cellStyle name="千位分隔 19 2" xfId="29643"/>
    <cellStyle name="千位分隔 19 2 2" xfId="29644"/>
    <cellStyle name="千位分隔 19 3" xfId="29645"/>
    <cellStyle name="千位分隔 2 16" xfId="29646"/>
    <cellStyle name="千位分隔 2 10" xfId="29647"/>
    <cellStyle name="千位分隔 2 10 10" xfId="29648"/>
    <cellStyle name="千位分隔 2 10 2" xfId="29649"/>
    <cellStyle name="千位分隔 2 10 2 2" xfId="29650"/>
    <cellStyle name="千位分隔 2 10 2 2 2" xfId="29651"/>
    <cellStyle name="千位分隔 2 10 2 3" xfId="29652"/>
    <cellStyle name="千位分隔 2 10 2 3 2" xfId="29653"/>
    <cellStyle name="千位分隔 2 10 2 3 3" xfId="29654"/>
    <cellStyle name="千位分隔 2 10 2 3 4" xfId="29655"/>
    <cellStyle name="千位分隔 2 10 2 3 5" xfId="29656"/>
    <cellStyle name="千位分隔 2 10 2 3 6" xfId="29657"/>
    <cellStyle name="千位分隔 2 10 2 4" xfId="29658"/>
    <cellStyle name="千位分隔 2 10 2 5" xfId="29659"/>
    <cellStyle name="千位分隔 2 10 2 6" xfId="29660"/>
    <cellStyle name="千位分隔 2 10 2 7" xfId="29661"/>
    <cellStyle name="千位分隔 2 10 2 8" xfId="29662"/>
    <cellStyle name="千位分隔 2 10 2 9" xfId="29663"/>
    <cellStyle name="千位分隔 2 10 3" xfId="29664"/>
    <cellStyle name="千位分隔 2 10 3 2" xfId="29665"/>
    <cellStyle name="千位分隔 2 10 3 2 2" xfId="29666"/>
    <cellStyle name="千位分隔 2 10 3 2 3" xfId="29667"/>
    <cellStyle name="千位分隔 2 10 3 2 4" xfId="29668"/>
    <cellStyle name="千位分隔 2 10 3 2 5" xfId="29669"/>
    <cellStyle name="千位分隔 2 10 3 2 6" xfId="29670"/>
    <cellStyle name="千位分隔 2 10 3 3" xfId="29671"/>
    <cellStyle name="千位分隔 2 10 3 4" xfId="29672"/>
    <cellStyle name="千位分隔 2 10 3 5" xfId="29673"/>
    <cellStyle name="千位分隔 2 10 3 6" xfId="29674"/>
    <cellStyle name="千位分隔 2 10 3 7" xfId="29675"/>
    <cellStyle name="千位分隔 2 10 3 8" xfId="29676"/>
    <cellStyle name="千位分隔 2 10 4" xfId="29677"/>
    <cellStyle name="千位分隔 2 10 4 2" xfId="29678"/>
    <cellStyle name="千位分隔 2 10 4 3" xfId="29679"/>
    <cellStyle name="千位分隔 2 10 4 4" xfId="29680"/>
    <cellStyle name="千位分隔 2 10 4 5" xfId="29681"/>
    <cellStyle name="千位分隔 2 10 4 6" xfId="29682"/>
    <cellStyle name="千位分隔 2 10 4 7" xfId="29683"/>
    <cellStyle name="千位分隔 2 10 5" xfId="29684"/>
    <cellStyle name="千位分隔 2 10 6" xfId="29685"/>
    <cellStyle name="千位分隔 2 10 7" xfId="29686"/>
    <cellStyle name="千位分隔 2 10 8" xfId="29687"/>
    <cellStyle name="千位分隔 2 10 9" xfId="29688"/>
    <cellStyle name="千位分隔 2 11" xfId="29689"/>
    <cellStyle name="千位分隔 2 11 2" xfId="29690"/>
    <cellStyle name="千位分隔 2 11 2 2" xfId="29691"/>
    <cellStyle name="千位分隔 2 11 2 2 2" xfId="29692"/>
    <cellStyle name="千位分隔 2 11 2 3" xfId="29693"/>
    <cellStyle name="千位分隔 2 11 3" xfId="29694"/>
    <cellStyle name="千位分隔 2 11 3 2" xfId="29695"/>
    <cellStyle name="千位分隔 2 11 3 3" xfId="29696"/>
    <cellStyle name="千位分隔 2 11 3 4" xfId="29697"/>
    <cellStyle name="千位分隔 2 11 3 5" xfId="29698"/>
    <cellStyle name="千位分隔 2 11 3 6" xfId="29699"/>
    <cellStyle name="千位分隔 2 11 3 7" xfId="29700"/>
    <cellStyle name="千位分隔 2 11 4" xfId="29701"/>
    <cellStyle name="千位分隔 2 11 5" xfId="29702"/>
    <cellStyle name="千位分隔 2 11 6" xfId="29703"/>
    <cellStyle name="千位分隔 2 11 7" xfId="29704"/>
    <cellStyle name="千位分隔 2 11 8" xfId="29705"/>
    <cellStyle name="千位分隔 2 11 9" xfId="29706"/>
    <cellStyle name="千位分隔 2 12" xfId="29707"/>
    <cellStyle name="千位分隔 2 12 2" xfId="29708"/>
    <cellStyle name="千位分隔 2 12 2 2" xfId="29709"/>
    <cellStyle name="千位分隔 2 12 3" xfId="29710"/>
    <cellStyle name="千位分隔 2 12 4" xfId="29711"/>
    <cellStyle name="千位分隔 2 12 5" xfId="29712"/>
    <cellStyle name="千位分隔 2 12 6" xfId="29713"/>
    <cellStyle name="千位分隔 2 13" xfId="29714"/>
    <cellStyle name="千位分隔 2 13 2" xfId="29715"/>
    <cellStyle name="千位分隔 2 13 2 2" xfId="29716"/>
    <cellStyle name="千位分隔 2 13 3" xfId="29717"/>
    <cellStyle name="千位分隔 2 13 4" xfId="29718"/>
    <cellStyle name="千位分隔 2 13 5" xfId="29719"/>
    <cellStyle name="千位分隔 2 13 6" xfId="29720"/>
    <cellStyle name="千位分隔 2 14" xfId="29721"/>
    <cellStyle name="千位分隔 2 15" xfId="29722"/>
    <cellStyle name="千位分隔 2 15 2" xfId="29723"/>
    <cellStyle name="千位分隔 2 2" xfId="29724"/>
    <cellStyle name="千位分隔 2 2 10" xfId="29725"/>
    <cellStyle name="千位分隔 2 2 10 2" xfId="29726"/>
    <cellStyle name="千位分隔 2 2 10 2 2" xfId="29727"/>
    <cellStyle name="千位分隔 2 2 11" xfId="29728"/>
    <cellStyle name="千位分隔 2 2 11 2" xfId="29729"/>
    <cellStyle name="千位分隔 2 2 12" xfId="29730"/>
    <cellStyle name="千位分隔 2 2 12 2" xfId="29731"/>
    <cellStyle name="千位分隔 2 2 13" xfId="29732"/>
    <cellStyle name="千位分隔 2 2 14" xfId="29733"/>
    <cellStyle name="千位分隔 2 2 15" xfId="29734"/>
    <cellStyle name="千位分隔 2 2 2" xfId="29735"/>
    <cellStyle name="千位分隔 2 2 2 10" xfId="29736"/>
    <cellStyle name="千位分隔 2 2 2 10 2" xfId="29737"/>
    <cellStyle name="千位分隔 2 2 2 11" xfId="29738"/>
    <cellStyle name="千位分隔 2 2 2 12" xfId="29739"/>
    <cellStyle name="千位分隔 2 2 2 13" xfId="29740"/>
    <cellStyle name="千位分隔 2 2 2 2" xfId="29741"/>
    <cellStyle name="千位分隔 2 2 2 2 10" xfId="29742"/>
    <cellStyle name="千位分隔 2 2 2 2 11" xfId="29743"/>
    <cellStyle name="千位分隔 2 2 2 2 2" xfId="29744"/>
    <cellStyle name="千位分隔 2 2 2 2 2 10" xfId="29745"/>
    <cellStyle name="千位分隔 2 2 2 2 2 2" xfId="29746"/>
    <cellStyle name="千位分隔 2 2 2 2 2 2 2" xfId="29747"/>
    <cellStyle name="千位分隔 2 2 2 2 2 2 2 2" xfId="29748"/>
    <cellStyle name="千位分隔 2 2 2 2 2 2 2 2 2" xfId="29749"/>
    <cellStyle name="千位分隔 2 2 2 2 2 2 2 3" xfId="29750"/>
    <cellStyle name="千位分隔 2 2 2 2 2 2 2 4" xfId="29751"/>
    <cellStyle name="千位分隔 2 2 2 2 2 2 2 5" xfId="29752"/>
    <cellStyle name="千位分隔 2 2 2 2 2 2 2 6" xfId="29753"/>
    <cellStyle name="千位分隔 2 2 2 2 2 2 3" xfId="29754"/>
    <cellStyle name="千位分隔 2 2 2 2 2 2 3 2" xfId="29755"/>
    <cellStyle name="千位分隔 2 2 2 2 2 2 3 2 2" xfId="29756"/>
    <cellStyle name="千位分隔 2 2 2 2 2 2 3 3" xfId="29757"/>
    <cellStyle name="千位分隔 2 2 2 2 2 2 3 4" xfId="29758"/>
    <cellStyle name="千位分隔 2 2 2 2 2 2 3 5" xfId="29759"/>
    <cellStyle name="千位分隔 2 2 2 2 2 2 3 6" xfId="29760"/>
    <cellStyle name="千位分隔 2 2 2 2 2 2 4" xfId="29761"/>
    <cellStyle name="千位分隔 2 2 2 2 2 2 4 2" xfId="29762"/>
    <cellStyle name="千位分隔 2 2 2 2 2 2 5" xfId="29763"/>
    <cellStyle name="千位分隔 2 2 2 2 2 2 6" xfId="29764"/>
    <cellStyle name="千位分隔 2 2 2 2 2 2 7" xfId="29765"/>
    <cellStyle name="千位分隔 2 2 2 2 2 2 8" xfId="29766"/>
    <cellStyle name="千位分隔 2 2 2 2 2 2 9" xfId="29767"/>
    <cellStyle name="千位分隔 2 2 2 2 2 3" xfId="29768"/>
    <cellStyle name="千位分隔 2 2 2 2 2 3 2" xfId="29769"/>
    <cellStyle name="千位分隔 2 2 2 2 2 3 2 2" xfId="29770"/>
    <cellStyle name="千位分隔 2 2 2 2 2 3 3" xfId="29771"/>
    <cellStyle name="千位分隔 2 2 2 2 2 3 3 2" xfId="29772"/>
    <cellStyle name="千位分隔 2 2 2 2 2 3 4" xfId="29773"/>
    <cellStyle name="千位分隔 2 2 2 2 2 3 4 2" xfId="29774"/>
    <cellStyle name="千位分隔 2 2 2 2 2 3 5" xfId="29775"/>
    <cellStyle name="千位分隔 2 2 2 2 2 3 6" xfId="29776"/>
    <cellStyle name="千位分隔 2 2 2 2 2 3 7" xfId="29777"/>
    <cellStyle name="千位分隔 2 2 2 2 2 4" xfId="29778"/>
    <cellStyle name="千位分隔 2 2 2 2 2 4 2" xfId="29779"/>
    <cellStyle name="千位分隔 2 2 2 2 2 4 2 2" xfId="29780"/>
    <cellStyle name="千位分隔 2 2 2 2 2 4 3" xfId="29781"/>
    <cellStyle name="千位分隔 2 2 2 2 2 4 4" xfId="29782"/>
    <cellStyle name="千位分隔 2 2 2 2 2 4 5" xfId="29783"/>
    <cellStyle name="千位分隔 2 2 2 2 2 4 6" xfId="29784"/>
    <cellStyle name="千位分隔 2 2 2 2 2 4 7" xfId="29785"/>
    <cellStyle name="千位分隔 2 2 2 2 2 5" xfId="29786"/>
    <cellStyle name="千位分隔 2 2 2 2 2 5 2" xfId="29787"/>
    <cellStyle name="千位分隔 2 2 2 2 2 6" xfId="29788"/>
    <cellStyle name="千位分隔 2 2 2 2 2 6 2" xfId="29789"/>
    <cellStyle name="千位分隔 2 2 2 2 2 7" xfId="29790"/>
    <cellStyle name="千位分隔 2 2 2 2 2 7 2" xfId="29791"/>
    <cellStyle name="千位分隔 2 2 2 2 2 8" xfId="29792"/>
    <cellStyle name="千位分隔 2 2 2 2 2 9" xfId="29793"/>
    <cellStyle name="千位分隔 2 2 2 2 3" xfId="29794"/>
    <cellStyle name="千位分隔 2 2 2 2 3 2" xfId="29795"/>
    <cellStyle name="千位分隔 2 2 2 2 3 2 2" xfId="29796"/>
    <cellStyle name="千位分隔 2 2 2 2 3 2 2 2" xfId="29797"/>
    <cellStyle name="千位分隔 2 2 2 2 3 2 3" xfId="29798"/>
    <cellStyle name="千位分隔 2 2 2 2 3 2 3 2" xfId="29799"/>
    <cellStyle name="千位分隔 2 2 2 2 3 2 4" xfId="29800"/>
    <cellStyle name="千位分隔 2 2 2 2 3 2 4 2" xfId="29801"/>
    <cellStyle name="千位分隔 2 2 2 2 3 2 5" xfId="29802"/>
    <cellStyle name="千位分隔 2 2 2 2 3 2 6" xfId="29803"/>
    <cellStyle name="千位分隔 2 2 2 2 3 2 7" xfId="29804"/>
    <cellStyle name="千位分隔 2 2 2 2 3 3" xfId="29805"/>
    <cellStyle name="千位分隔 2 2 2 2 3 3 2" xfId="29806"/>
    <cellStyle name="千位分隔 2 2 2 2 3 3 2 2" xfId="29807"/>
    <cellStyle name="千位分隔 2 2 2 2 3 3 3" xfId="29808"/>
    <cellStyle name="千位分隔 2 2 2 2 3 3 4" xfId="29809"/>
    <cellStyle name="千位分隔 2 2 2 2 3 3 5" xfId="29810"/>
    <cellStyle name="千位分隔 2 2 2 2 3 3 6" xfId="29811"/>
    <cellStyle name="千位分隔 2 2 2 2 3 3 7" xfId="29812"/>
    <cellStyle name="千位分隔 2 2 2 2 3 4" xfId="29813"/>
    <cellStyle name="千位分隔 2 2 2 2 3 4 2" xfId="29814"/>
    <cellStyle name="千位分隔 2 2 2 2 3 5" xfId="29815"/>
    <cellStyle name="千位分隔 2 2 2 2 3 5 2" xfId="29816"/>
    <cellStyle name="千位分隔 2 2 2 2 3 6" xfId="29817"/>
    <cellStyle name="千位分隔 2 2 2 2 3 6 2" xfId="29818"/>
    <cellStyle name="千位分隔 2 2 2 2 3 7" xfId="29819"/>
    <cellStyle name="千位分隔 2 2 2 2 3 8" xfId="29820"/>
    <cellStyle name="千位分隔 2 2 2 2 3 9" xfId="29821"/>
    <cellStyle name="千位分隔 2 2 2 2 4" xfId="29822"/>
    <cellStyle name="千位分隔 2 2 2 2 4 2" xfId="29823"/>
    <cellStyle name="千位分隔 2 2 2 2 4 2 2" xfId="29824"/>
    <cellStyle name="千位分隔 2 2 2 2 4 3" xfId="29825"/>
    <cellStyle name="千位分隔 2 2 2 2 4 3 2" xfId="29826"/>
    <cellStyle name="千位分隔 2 2 2 2 4 4" xfId="29827"/>
    <cellStyle name="千位分隔 2 2 2 2 4 4 2" xfId="29828"/>
    <cellStyle name="千位分隔 2 2 2 2 4 5" xfId="29829"/>
    <cellStyle name="千位分隔 2 2 2 2 4 6" xfId="29830"/>
    <cellStyle name="千位分隔 2 2 2 2 4 7" xfId="29831"/>
    <cellStyle name="千位分隔 2 2 2 2 5" xfId="29832"/>
    <cellStyle name="千位分隔 2 2 2 2 5 2" xfId="29833"/>
    <cellStyle name="千位分隔 2 2 2 2 5 2 2" xfId="29834"/>
    <cellStyle name="千位分隔 2 2 2 2 5 3" xfId="29835"/>
    <cellStyle name="千位分隔 2 2 2 2 5 4" xfId="29836"/>
    <cellStyle name="千位分隔 2 2 2 2 5 5" xfId="29837"/>
    <cellStyle name="千位分隔 2 2 2 2 5 6" xfId="29838"/>
    <cellStyle name="千位分隔 2 2 2 2 5 7" xfId="29839"/>
    <cellStyle name="千位分隔 2 2 2 2 6" xfId="29840"/>
    <cellStyle name="千位分隔 2 2 2 2 6 2" xfId="29841"/>
    <cellStyle name="千位分隔 2 2 2 2 7" xfId="29842"/>
    <cellStyle name="千位分隔 2 2 2 2 7 2" xfId="29843"/>
    <cellStyle name="千位分隔 2 2 2 2 8" xfId="29844"/>
    <cellStyle name="千位分隔 2 2 2 2 8 2" xfId="29845"/>
    <cellStyle name="千位分隔 2 2 2 2 9" xfId="29846"/>
    <cellStyle name="千位分隔 2 2 2 3" xfId="29847"/>
    <cellStyle name="千位分隔 2 2 2 3 10" xfId="29848"/>
    <cellStyle name="千位分隔 2 2 2 3 11" xfId="29849"/>
    <cellStyle name="千位分隔 2 2 2 3 2" xfId="29850"/>
    <cellStyle name="千位分隔 2 2 2 3 2 2" xfId="29851"/>
    <cellStyle name="千位分隔 2 2 2 3 2 2 2" xfId="29852"/>
    <cellStyle name="千位分隔 2 2 2 3 2 2 2 2" xfId="29853"/>
    <cellStyle name="千位分隔 2 2 2 3 2 2 2 2 2" xfId="29854"/>
    <cellStyle name="千位分隔 2 2 2 3 2 2 2 3" xfId="29855"/>
    <cellStyle name="千位分隔 2 2 2 3 2 2 2 4" xfId="29856"/>
    <cellStyle name="千位分隔 2 2 2 3 2 2 2 5" xfId="29857"/>
    <cellStyle name="千位分隔 2 2 2 3 2 2 2 6" xfId="29858"/>
    <cellStyle name="千位分隔 2 2 2 3 2 2 3" xfId="29859"/>
    <cellStyle name="千位分隔 2 2 2 3 2 2 3 2" xfId="29860"/>
    <cellStyle name="千位分隔 2 2 2 3 2 2 4" xfId="29861"/>
    <cellStyle name="千位分隔 2 2 2 3 2 2 5" xfId="29862"/>
    <cellStyle name="千位分隔 2 2 2 3 2 2 6" xfId="29863"/>
    <cellStyle name="千位分隔 2 2 2 3 2 2 7" xfId="29864"/>
    <cellStyle name="千位分隔 2 2 2 3 2 3" xfId="29865"/>
    <cellStyle name="千位分隔 2 2 2 3 2 3 2" xfId="29866"/>
    <cellStyle name="千位分隔 2 2 2 3 2 3 2 2" xfId="29867"/>
    <cellStyle name="千位分隔 2 2 2 3 2 3 3" xfId="29868"/>
    <cellStyle name="千位分隔 2 2 2 3 2 3 4" xfId="29869"/>
    <cellStyle name="千位分隔 2 2 2 3 2 3 5" xfId="29870"/>
    <cellStyle name="千位分隔 2 2 2 3 2 3 6" xfId="29871"/>
    <cellStyle name="千位分隔 2 2 2 3 2 4" xfId="29872"/>
    <cellStyle name="千位分隔 2 2 2 3 2 4 2" xfId="29873"/>
    <cellStyle name="千位分隔 2 2 2 3 2 5" xfId="29874"/>
    <cellStyle name="千位分隔 2 2 2 3 2 6" xfId="29875"/>
    <cellStyle name="千位分隔 2 2 2 3 2 7" xfId="29876"/>
    <cellStyle name="千位分隔 2 2 2 3 2 8" xfId="29877"/>
    <cellStyle name="千位分隔 2 2 2 3 2 9" xfId="29878"/>
    <cellStyle name="千位分隔 2 2 2 3 3" xfId="29879"/>
    <cellStyle name="千位分隔 2 2 2 3 3 2" xfId="29880"/>
    <cellStyle name="千位分隔 2 2 2 3 3 2 2" xfId="29881"/>
    <cellStyle name="千位分隔 2 2 2 3 3 2 2 2" xfId="29882"/>
    <cellStyle name="千位分隔 2 2 2 3 3 2 3" xfId="29883"/>
    <cellStyle name="千位分隔 2 2 2 3 3 2 4" xfId="29884"/>
    <cellStyle name="千位分隔 2 2 2 3 3 2 5" xfId="29885"/>
    <cellStyle name="千位分隔 2 2 2 3 3 2 6" xfId="29886"/>
    <cellStyle name="千位分隔 2 2 2 3 3 2 7" xfId="29887"/>
    <cellStyle name="千位分隔 2 2 2 3 3 3" xfId="29888"/>
    <cellStyle name="千位分隔 2 2 2 3 3 3 2" xfId="29889"/>
    <cellStyle name="千位分隔 2 2 2 3 3 3 2 2" xfId="29890"/>
    <cellStyle name="千位分隔 2 2 2 3 3 3 3" xfId="29891"/>
    <cellStyle name="千位分隔 2 2 2 3 3 3 4" xfId="29892"/>
    <cellStyle name="千位分隔 2 2 2 3 3 3 5" xfId="29893"/>
    <cellStyle name="千位分隔 2 2 2 3 3 3 6" xfId="29894"/>
    <cellStyle name="千位分隔 2 2 2 3 3 3 7" xfId="29895"/>
    <cellStyle name="千位分隔 2 2 2 3 3 4" xfId="29896"/>
    <cellStyle name="千位分隔 2 2 2 3 3 4 2" xfId="29897"/>
    <cellStyle name="千位分隔 2 2 2 3 3 5" xfId="29898"/>
    <cellStyle name="千位分隔 2 2 2 3 3 5 2" xfId="29899"/>
    <cellStyle name="千位分隔 2 2 2 3 3 6" xfId="29900"/>
    <cellStyle name="千位分隔 2 2 2 3 3 6 2" xfId="29901"/>
    <cellStyle name="千位分隔 2 2 2 3 3 7" xfId="29902"/>
    <cellStyle name="千位分隔 2 2 2 3 3 8" xfId="29903"/>
    <cellStyle name="千位分隔 2 2 2 3 3 9" xfId="29904"/>
    <cellStyle name="千位分隔 2 2 2 3 4" xfId="29905"/>
    <cellStyle name="千位分隔 2 2 2 3 4 2" xfId="29906"/>
    <cellStyle name="千位分隔 2 2 2 3 4 2 2" xfId="29907"/>
    <cellStyle name="千位分隔 2 2 2 3 4 3" xfId="29908"/>
    <cellStyle name="千位分隔 2 2 2 3 4 4" xfId="29909"/>
    <cellStyle name="千位分隔 2 2 2 3 4 5" xfId="29910"/>
    <cellStyle name="千位分隔 2 2 2 3 4 6" xfId="29911"/>
    <cellStyle name="千位分隔 2 2 2 3 4 7" xfId="29912"/>
    <cellStyle name="千位分隔 2 2 2 3 5" xfId="29913"/>
    <cellStyle name="千位分隔 2 2 2 3 5 2" xfId="29914"/>
    <cellStyle name="千位分隔 2 2 2 3 5 2 2" xfId="29915"/>
    <cellStyle name="千位分隔 2 2 2 3 5 3" xfId="29916"/>
    <cellStyle name="千位分隔 2 2 2 3 5 4" xfId="29917"/>
    <cellStyle name="千位分隔 2 2 2 3 5 5" xfId="29918"/>
    <cellStyle name="千位分隔 2 2 2 3 5 6" xfId="29919"/>
    <cellStyle name="千位分隔 2 2 2 3 5 7" xfId="29920"/>
    <cellStyle name="千位分隔 2 2 2 3 6" xfId="29921"/>
    <cellStyle name="千位分隔 2 2 2 3 6 2" xfId="29922"/>
    <cellStyle name="千位分隔 2 2 2 3 7" xfId="29923"/>
    <cellStyle name="千位分隔 2 2 2 3 7 2" xfId="29924"/>
    <cellStyle name="千位分隔 2 2 2 3 8" xfId="29925"/>
    <cellStyle name="千位分隔 2 2 2 3 8 2" xfId="29926"/>
    <cellStyle name="千位分隔 2 2 2 3 9" xfId="29927"/>
    <cellStyle name="千位分隔 2 2 2 4" xfId="29928"/>
    <cellStyle name="千位分隔 2 2 2 4 10" xfId="29929"/>
    <cellStyle name="千位分隔 2 2 2 4 2" xfId="29930"/>
    <cellStyle name="千位分隔 2 2 2 4 2 2" xfId="29931"/>
    <cellStyle name="千位分隔 2 2 2 4 2 2 2" xfId="29932"/>
    <cellStyle name="千位分隔 2 2 2 4 2 2 2 2" xfId="29933"/>
    <cellStyle name="千位分隔 2 2 2 4 2 2 3" xfId="29934"/>
    <cellStyle name="千位分隔 2 2 2 4 2 2 4" xfId="29935"/>
    <cellStyle name="千位分隔 2 2 2 4 2 2 5" xfId="29936"/>
    <cellStyle name="千位分隔 2 2 2 4 2 2 6" xfId="29937"/>
    <cellStyle name="千位分隔 2 2 2 4 2 3" xfId="29938"/>
    <cellStyle name="千位分隔 2 2 2 4 2 3 2" xfId="29939"/>
    <cellStyle name="千位分隔 2 2 2 4 2 3 2 2" xfId="29940"/>
    <cellStyle name="千位分隔 2 2 2 4 2 3 3" xfId="29941"/>
    <cellStyle name="千位分隔 2 2 2 4 2 3 4" xfId="29942"/>
    <cellStyle name="千位分隔 2 2 2 4 2 3 5" xfId="29943"/>
    <cellStyle name="千位分隔 2 2 2 4 2 3 6" xfId="29944"/>
    <cellStyle name="千位分隔 2 2 2 4 2 4" xfId="29945"/>
    <cellStyle name="千位分隔 2 2 2 4 2 4 2" xfId="29946"/>
    <cellStyle name="千位分隔 2 2 2 4 2 5" xfId="29947"/>
    <cellStyle name="千位分隔 2 2 2 4 2 6" xfId="29948"/>
    <cellStyle name="千位分隔 2 2 2 4 2 7" xfId="29949"/>
    <cellStyle name="千位分隔 2 2 2 4 2 8" xfId="29950"/>
    <cellStyle name="千位分隔 2 2 2 4 3" xfId="29951"/>
    <cellStyle name="千位分隔 2 2 2 4 3 2" xfId="29952"/>
    <cellStyle name="千位分隔 2 2 2 4 3 2 2" xfId="29953"/>
    <cellStyle name="千位分隔 2 2 2 4 3 3" xfId="29954"/>
    <cellStyle name="千位分隔 2 2 2 4 3 4" xfId="29955"/>
    <cellStyle name="千位分隔 2 2 2 4 3 5" xfId="29956"/>
    <cellStyle name="千位分隔 2 2 2 4 3 6" xfId="29957"/>
    <cellStyle name="千位分隔 2 2 2 4 4" xfId="29958"/>
    <cellStyle name="千位分隔 2 2 2 4 4 2" xfId="29959"/>
    <cellStyle name="千位分隔 2 2 2 4 4 2 2" xfId="29960"/>
    <cellStyle name="千位分隔 2 2 2 4 4 3" xfId="29961"/>
    <cellStyle name="千位分隔 2 2 2 4 4 4" xfId="29962"/>
    <cellStyle name="千位分隔 2 2 2 4 4 5" xfId="29963"/>
    <cellStyle name="千位分隔 2 2 2 4 4 6" xfId="29964"/>
    <cellStyle name="千位分隔 2 2 2 4 5" xfId="29965"/>
    <cellStyle name="千位分隔 2 2 2 4 5 2" xfId="29966"/>
    <cellStyle name="千位分隔 2 2 2 4 6" xfId="29967"/>
    <cellStyle name="千位分隔 2 2 2 4 7" xfId="29968"/>
    <cellStyle name="千位分隔 2 2 2 4 8" xfId="29969"/>
    <cellStyle name="千位分隔 2 2 2 4 9" xfId="29970"/>
    <cellStyle name="千位分隔 2 2 2 5" xfId="29971"/>
    <cellStyle name="千位分隔 2 2 2 5 2" xfId="29972"/>
    <cellStyle name="千位分隔 2 2 2 5 2 2" xfId="29973"/>
    <cellStyle name="千位分隔 2 2 2 5 2 2 2" xfId="29974"/>
    <cellStyle name="千位分隔 2 2 2 5 2 3" xfId="29975"/>
    <cellStyle name="千位分隔 2 2 2 5 2 4" xfId="29976"/>
    <cellStyle name="千位分隔 2 2 2 5 2 5" xfId="29977"/>
    <cellStyle name="千位分隔 2 2 2 5 2 6" xfId="29978"/>
    <cellStyle name="千位分隔 2 2 2 5 3" xfId="29979"/>
    <cellStyle name="千位分隔 2 2 2 5 3 2" xfId="29980"/>
    <cellStyle name="千位分隔 2 2 2 5 3 2 2" xfId="29981"/>
    <cellStyle name="千位分隔 2 2 2 5 3 3" xfId="29982"/>
    <cellStyle name="千位分隔 2 2 2 5 3 4" xfId="29983"/>
    <cellStyle name="千位分隔 2 2 2 5 3 5" xfId="29984"/>
    <cellStyle name="千位分隔 2 2 2 5 3 6" xfId="29985"/>
    <cellStyle name="千位分隔 2 2 2 5 4" xfId="29986"/>
    <cellStyle name="千位分隔 2 2 2 5 4 2" xfId="29987"/>
    <cellStyle name="千位分隔 2 2 2 5 5" xfId="29988"/>
    <cellStyle name="千位分隔 2 2 2 5 6" xfId="29989"/>
    <cellStyle name="千位分隔 2 2 2 5 7" xfId="29990"/>
    <cellStyle name="千位分隔 2 2 2 5 8" xfId="29991"/>
    <cellStyle name="千位分隔 2 2 2 6" xfId="29992"/>
    <cellStyle name="千位分隔 2 2 2 6 2" xfId="29993"/>
    <cellStyle name="千位分隔 2 2 2 6 2 2" xfId="29994"/>
    <cellStyle name="千位分隔 2 2 2 6 3" xfId="29995"/>
    <cellStyle name="千位分隔 2 2 2 6 3 2" xfId="29996"/>
    <cellStyle name="千位分隔 2 2 2 6 4" xfId="29997"/>
    <cellStyle name="千位分隔 2 2 2 6 4 2" xfId="29998"/>
    <cellStyle name="千位分隔 2 2 2 6 5" xfId="29999"/>
    <cellStyle name="千位分隔 2 2 2 6 6" xfId="30000"/>
    <cellStyle name="千位分隔 2 2 2 6 7" xfId="30001"/>
    <cellStyle name="千位分隔 2 2 2 7" xfId="30002"/>
    <cellStyle name="千位分隔 2 2 2 7 2" xfId="30003"/>
    <cellStyle name="千位分隔 2 2 2 7 2 2" xfId="30004"/>
    <cellStyle name="千位分隔 2 2 2 7 3" xfId="30005"/>
    <cellStyle name="千位分隔 2 2 2 7 4" xfId="30006"/>
    <cellStyle name="千位分隔 2 2 2 7 5" xfId="30007"/>
    <cellStyle name="千位分隔 2 2 2 7 6" xfId="30008"/>
    <cellStyle name="千位分隔 2 2 2 7 7" xfId="30009"/>
    <cellStyle name="千位分隔 2 2 2 8" xfId="30010"/>
    <cellStyle name="千位分隔 2 2 2 8 2" xfId="30011"/>
    <cellStyle name="千位分隔 2 2 2 9" xfId="30012"/>
    <cellStyle name="千位分隔 2 2 2 9 2" xfId="30013"/>
    <cellStyle name="千位分隔 2 2 3" xfId="30014"/>
    <cellStyle name="千位分隔 2 2 3 10" xfId="30015"/>
    <cellStyle name="千位分隔 2 2 3 11" xfId="30016"/>
    <cellStyle name="千位分隔 2 2 3 2" xfId="30017"/>
    <cellStyle name="千位分隔 2 2 3 2 10" xfId="30018"/>
    <cellStyle name="千位分隔 2 2 3 2 11" xfId="30019"/>
    <cellStyle name="千位分隔 2 2 3 2 2" xfId="30020"/>
    <cellStyle name="千位分隔 2 2 3 2 2 2" xfId="30021"/>
    <cellStyle name="千位分隔 2 2 3 2 2 2 2" xfId="30022"/>
    <cellStyle name="千位分隔 2 2 3 2 2 2 2 2" xfId="30023"/>
    <cellStyle name="千位分隔 2 2 3 2 2 2 2 2 2" xfId="30024"/>
    <cellStyle name="千位分隔 2 2 3 2 2 2 2 3" xfId="30025"/>
    <cellStyle name="千位分隔 2 2 3 2 2 2 2 4" xfId="30026"/>
    <cellStyle name="千位分隔 2 2 3 2 2 2 2 5" xfId="30027"/>
    <cellStyle name="千位分隔 2 2 3 2 2 2 2 6" xfId="30028"/>
    <cellStyle name="千位分隔 2 2 3 2 2 2 3" xfId="30029"/>
    <cellStyle name="千位分隔 2 2 3 2 2 2 3 2" xfId="30030"/>
    <cellStyle name="千位分隔 2 2 3 2 2 2 4" xfId="30031"/>
    <cellStyle name="千位分隔 2 2 3 2 2 2 5" xfId="30032"/>
    <cellStyle name="千位分隔 2 2 3 2 2 2 6" xfId="30033"/>
    <cellStyle name="千位分隔 2 2 3 2 2 2 7" xfId="30034"/>
    <cellStyle name="千位分隔 2 2 3 2 2 3" xfId="30035"/>
    <cellStyle name="千位分隔 2 2 3 2 2 3 2" xfId="30036"/>
    <cellStyle name="千位分隔 2 2 3 2 2 3 2 2" xfId="30037"/>
    <cellStyle name="千位分隔 2 2 3 2 2 3 3" xfId="30038"/>
    <cellStyle name="千位分隔 2 2 3 2 2 3 4" xfId="30039"/>
    <cellStyle name="千位分隔 2 2 3 2 2 3 5" xfId="30040"/>
    <cellStyle name="千位分隔 2 2 3 2 2 3 6" xfId="30041"/>
    <cellStyle name="千位分隔 2 2 3 2 2 4" xfId="30042"/>
    <cellStyle name="千位分隔 2 2 3 2 2 4 2" xfId="30043"/>
    <cellStyle name="千位分隔 2 2 3 2 2 5" xfId="30044"/>
    <cellStyle name="千位分隔 2 2 3 2 2 6" xfId="30045"/>
    <cellStyle name="千位分隔 2 2 3 2 2 7" xfId="30046"/>
    <cellStyle name="千位分隔 2 2 3 2 2 8" xfId="30047"/>
    <cellStyle name="千位分隔 2 2 3 2 2 9" xfId="30048"/>
    <cellStyle name="千位分隔 2 2 3 2 3" xfId="30049"/>
    <cellStyle name="千位分隔 2 2 3 2 3 2" xfId="30050"/>
    <cellStyle name="千位分隔 2 2 3 2 3 2 2" xfId="30051"/>
    <cellStyle name="千位分隔 2 2 3 2 3 2 2 2" xfId="30052"/>
    <cellStyle name="千位分隔 2 2 3 2 3 2 3" xfId="30053"/>
    <cellStyle name="千位分隔 2 2 3 2 3 2 4" xfId="30054"/>
    <cellStyle name="千位分隔 2 2 3 2 3 2 5" xfId="30055"/>
    <cellStyle name="千位分隔 2 2 3 2 3 2 6" xfId="30056"/>
    <cellStyle name="千位分隔 2 2 3 2 3 2 7" xfId="30057"/>
    <cellStyle name="千位分隔 2 2 3 2 3 3" xfId="30058"/>
    <cellStyle name="千位分隔 2 2 3 2 3 3 2" xfId="30059"/>
    <cellStyle name="千位分隔 2 2 3 2 3 3 2 2" xfId="30060"/>
    <cellStyle name="千位分隔 2 2 3 2 3 3 3" xfId="30061"/>
    <cellStyle name="千位分隔 2 2 3 2 3 3 4" xfId="30062"/>
    <cellStyle name="千位分隔 2 2 3 2 3 3 5" xfId="30063"/>
    <cellStyle name="千位分隔 2 2 3 2 3 3 6" xfId="30064"/>
    <cellStyle name="千位分隔 2 2 3 2 3 3 7" xfId="30065"/>
    <cellStyle name="千位分隔 2 2 3 2 3 4" xfId="30066"/>
    <cellStyle name="千位分隔 2 2 3 2 3 4 2" xfId="30067"/>
    <cellStyle name="千位分隔 2 2 3 2 3 5" xfId="30068"/>
    <cellStyle name="千位分隔 2 2 3 2 3 5 2" xfId="30069"/>
    <cellStyle name="千位分隔 2 2 3 2 3 6" xfId="30070"/>
    <cellStyle name="千位分隔 2 2 3 2 3 6 2" xfId="30071"/>
    <cellStyle name="千位分隔 2 2 3 2 3 7" xfId="30072"/>
    <cellStyle name="千位分隔 2 2 3 2 3 8" xfId="30073"/>
    <cellStyle name="千位分隔 2 2 3 2 3 9" xfId="30074"/>
    <cellStyle name="千位分隔 2 2 3 2 4" xfId="30075"/>
    <cellStyle name="千位分隔 2 2 3 2 4 2" xfId="30076"/>
    <cellStyle name="千位分隔 2 2 3 2 4 2 2" xfId="30077"/>
    <cellStyle name="千位分隔 2 2 3 2 4 3" xfId="30078"/>
    <cellStyle name="千位分隔 2 2 3 2 4 4" xfId="30079"/>
    <cellStyle name="千位分隔 2 2 3 2 4 5" xfId="30080"/>
    <cellStyle name="千位分隔 2 2 3 2 4 6" xfId="30081"/>
    <cellStyle name="千位分隔 2 2 3 2 4 7" xfId="30082"/>
    <cellStyle name="千位分隔 2 2 3 2 5" xfId="30083"/>
    <cellStyle name="千位分隔 2 2 3 2 5 2" xfId="30084"/>
    <cellStyle name="千位分隔 2 2 3 2 5 2 2" xfId="30085"/>
    <cellStyle name="千位分隔 2 2 3 2 5 3" xfId="30086"/>
    <cellStyle name="千位分隔 2 2 3 2 5 4" xfId="30087"/>
    <cellStyle name="千位分隔 2 2 3 2 5 5" xfId="30088"/>
    <cellStyle name="千位分隔 2 2 3 2 5 6" xfId="30089"/>
    <cellStyle name="千位分隔 2 2 3 2 5 7" xfId="30090"/>
    <cellStyle name="千位分隔 2 2 3 2 6" xfId="30091"/>
    <cellStyle name="千位分隔 2 2 3 2 6 2" xfId="30092"/>
    <cellStyle name="千位分隔 2 2 3 2 7" xfId="30093"/>
    <cellStyle name="千位分隔 2 2 3 2 7 2" xfId="30094"/>
    <cellStyle name="千位分隔 2 2 3 2 8" xfId="30095"/>
    <cellStyle name="千位分隔 2 2 3 2 8 2" xfId="30096"/>
    <cellStyle name="千位分隔 2 2 3 2 9" xfId="30097"/>
    <cellStyle name="千位分隔 2 2 3 3" xfId="30098"/>
    <cellStyle name="千位分隔 2 2 3 3 2" xfId="30099"/>
    <cellStyle name="千位分隔 2 2 3 3 2 2" xfId="30100"/>
    <cellStyle name="千位分隔 2 2 3 3 2 2 2" xfId="30101"/>
    <cellStyle name="千位分隔 2 2 3 3 2 2 2 2" xfId="30102"/>
    <cellStyle name="千位分隔 2 2 3 3 2 2 3" xfId="30103"/>
    <cellStyle name="千位分隔 2 2 3 3 2 2 4" xfId="30104"/>
    <cellStyle name="千位分隔 2 2 3 3 2 2 5" xfId="30105"/>
    <cellStyle name="千位分隔 2 2 3 3 2 2 6" xfId="30106"/>
    <cellStyle name="千位分隔 2 2 3 3 2 3" xfId="30107"/>
    <cellStyle name="千位分隔 2 2 3 3 2 3 2" xfId="30108"/>
    <cellStyle name="千位分隔 2 2 3 3 2 3 2 2" xfId="30109"/>
    <cellStyle name="千位分隔 2 2 3 3 2 3 3" xfId="30110"/>
    <cellStyle name="千位分隔 2 2 3 3 2 3 4" xfId="30111"/>
    <cellStyle name="千位分隔 2 2 3 3 2 3 5" xfId="30112"/>
    <cellStyle name="千位分隔 2 2 3 3 2 3 6" xfId="30113"/>
    <cellStyle name="千位分隔 2 2 3 3 2 4" xfId="30114"/>
    <cellStyle name="千位分隔 2 2 3 3 2 4 2" xfId="30115"/>
    <cellStyle name="千位分隔 2 2 3 3 2 5" xfId="30116"/>
    <cellStyle name="千位分隔 2 2 3 3 2 6" xfId="30117"/>
    <cellStyle name="千位分隔 2 2 3 3 2 7" xfId="30118"/>
    <cellStyle name="千位分隔 2 2 3 3 2 8" xfId="30119"/>
    <cellStyle name="千位分隔 2 2 3 3 3" xfId="30120"/>
    <cellStyle name="千位分隔 2 2 3 3 3 2" xfId="30121"/>
    <cellStyle name="千位分隔 2 2 3 3 3 2 2" xfId="30122"/>
    <cellStyle name="千位分隔 2 2 3 3 3 3" xfId="30123"/>
    <cellStyle name="千位分隔 2 2 3 3 3 4" xfId="30124"/>
    <cellStyle name="千位分隔 2 2 3 3 3 5" xfId="30125"/>
    <cellStyle name="千位分隔 2 2 3 3 3 6" xfId="30126"/>
    <cellStyle name="千位分隔 2 2 3 3 4" xfId="30127"/>
    <cellStyle name="千位分隔 2 2 3 3 4 2" xfId="30128"/>
    <cellStyle name="千位分隔 2 2 3 3 4 2 2" xfId="30129"/>
    <cellStyle name="千位分隔 2 2 3 3 4 3" xfId="30130"/>
    <cellStyle name="千位分隔 2 2 3 3 4 4" xfId="30131"/>
    <cellStyle name="千位分隔 2 2 3 3 4 5" xfId="30132"/>
    <cellStyle name="千位分隔 2 2 3 3 4 6" xfId="30133"/>
    <cellStyle name="千位分隔 2 2 3 3 5" xfId="30134"/>
    <cellStyle name="千位分隔 2 2 3 3 5 2" xfId="30135"/>
    <cellStyle name="千位分隔 2 2 3 3 6" xfId="30136"/>
    <cellStyle name="千位分隔 2 2 3 3 7" xfId="30137"/>
    <cellStyle name="千位分隔 2 2 3 3 8" xfId="30138"/>
    <cellStyle name="千位分隔 2 2 3 3 9" xfId="30139"/>
    <cellStyle name="千位分隔 2 2 3 4" xfId="30140"/>
    <cellStyle name="千位分隔 2 2 3 4 2" xfId="30141"/>
    <cellStyle name="千位分隔 2 2 3 4 2 2" xfId="30142"/>
    <cellStyle name="千位分隔 2 2 3 4 2 2 2" xfId="30143"/>
    <cellStyle name="千位分隔 2 2 3 4 2 3" xfId="30144"/>
    <cellStyle name="千位分隔 2 2 3 4 2 3 2" xfId="30145"/>
    <cellStyle name="千位分隔 2 2 3 4 2 4" xfId="30146"/>
    <cellStyle name="千位分隔 2 2 3 4 2 4 2" xfId="30147"/>
    <cellStyle name="千位分隔 2 2 3 4 2 5" xfId="30148"/>
    <cellStyle name="千位分隔 2 2 3 4 2 6" xfId="30149"/>
    <cellStyle name="千位分隔 2 2 3 4 2 7" xfId="30150"/>
    <cellStyle name="千位分隔 2 2 3 4 3" xfId="30151"/>
    <cellStyle name="千位分隔 2 2 3 4 3 2" xfId="30152"/>
    <cellStyle name="千位分隔 2 2 3 4 3 2 2" xfId="30153"/>
    <cellStyle name="千位分隔 2 2 3 4 3 3" xfId="30154"/>
    <cellStyle name="千位分隔 2 2 3 4 3 4" xfId="30155"/>
    <cellStyle name="千位分隔 2 2 3 4 3 5" xfId="30156"/>
    <cellStyle name="千位分隔 2 2 3 4 3 6" xfId="30157"/>
    <cellStyle name="千位分隔 2 2 3 4 3 7" xfId="30158"/>
    <cellStyle name="千位分隔 2 2 3 4 4" xfId="30159"/>
    <cellStyle name="千位分隔 2 2 3 4 4 2" xfId="30160"/>
    <cellStyle name="千位分隔 2 2 3 4 5" xfId="30161"/>
    <cellStyle name="千位分隔 2 2 3 4 5 2" xfId="30162"/>
    <cellStyle name="千位分隔 2 2 3 4 6" xfId="30163"/>
    <cellStyle name="千位分隔 2 2 3 4 6 2" xfId="30164"/>
    <cellStyle name="千位分隔 2 2 3 4 7" xfId="30165"/>
    <cellStyle name="千位分隔 2 2 3 4 8" xfId="30166"/>
    <cellStyle name="千位分隔 2 2 3 4 9" xfId="30167"/>
    <cellStyle name="千位分隔 2 2 3 5" xfId="30168"/>
    <cellStyle name="千位分隔 2 2 3 5 2" xfId="30169"/>
    <cellStyle name="千位分隔 2 2 3 5 2 2" xfId="30170"/>
    <cellStyle name="千位分隔 2 2 3 5 3" xfId="30171"/>
    <cellStyle name="千位分隔 2 2 3 5 3 2" xfId="30172"/>
    <cellStyle name="千位分隔 2 2 3 5 4" xfId="30173"/>
    <cellStyle name="千位分隔 2 2 3 5 4 2" xfId="30174"/>
    <cellStyle name="千位分隔 2 2 3 5 5" xfId="30175"/>
    <cellStyle name="千位分隔 2 2 3 5 6" xfId="30176"/>
    <cellStyle name="千位分隔 2 2 3 5 7" xfId="30177"/>
    <cellStyle name="千位分隔 2 2 3 6" xfId="30178"/>
    <cellStyle name="千位分隔 2 2 3 6 2" xfId="30179"/>
    <cellStyle name="千位分隔 2 2 3 6 2 2" xfId="30180"/>
    <cellStyle name="千位分隔 2 2 3 6 3" xfId="30181"/>
    <cellStyle name="千位分隔 2 2 3 6 4" xfId="30182"/>
    <cellStyle name="千位分隔 2 2 3 6 5" xfId="30183"/>
    <cellStyle name="千位分隔 2 2 3 6 6" xfId="30184"/>
    <cellStyle name="千位分隔 2 2 3 6 7" xfId="30185"/>
    <cellStyle name="千位分隔 2 2 3 7" xfId="30186"/>
    <cellStyle name="千位分隔 2 2 3 7 2" xfId="30187"/>
    <cellStyle name="千位分隔 2 2 3 8" xfId="30188"/>
    <cellStyle name="千位分隔 2 2 3 8 2" xfId="30189"/>
    <cellStyle name="千位分隔 2 2 3 9" xfId="30190"/>
    <cellStyle name="千位分隔 2 2 3 9 2" xfId="30191"/>
    <cellStyle name="千位分隔 2 2 4" xfId="30192"/>
    <cellStyle name="千位分隔 2 2 4 10" xfId="30193"/>
    <cellStyle name="千位分隔 2 2 4 11" xfId="30194"/>
    <cellStyle name="千位分隔 2 2 4 2" xfId="30195"/>
    <cellStyle name="千位分隔 2 2 4 2 10" xfId="30196"/>
    <cellStyle name="千位分隔 2 2 4 2 2" xfId="30197"/>
    <cellStyle name="千位分隔 2 2 4 2 2 2" xfId="30198"/>
    <cellStyle name="千位分隔 2 2 4 2 2 2 2" xfId="30199"/>
    <cellStyle name="千位分隔 2 2 4 2 2 2 2 2" xfId="30200"/>
    <cellStyle name="千位分隔 2 2 4 2 2 2 3" xfId="30201"/>
    <cellStyle name="千位分隔 2 2 4 2 2 2 4" xfId="30202"/>
    <cellStyle name="千位分隔 2 2 4 2 2 2 5" xfId="30203"/>
    <cellStyle name="千位分隔 2 2 4 2 2 2 6" xfId="30204"/>
    <cellStyle name="千位分隔 2 2 4 2 2 3" xfId="30205"/>
    <cellStyle name="千位分隔 2 2 4 2 2 3 2" xfId="30206"/>
    <cellStyle name="千位分隔 2 2 4 2 2 3 2 2" xfId="30207"/>
    <cellStyle name="千位分隔 2 2 4 2 2 3 3" xfId="30208"/>
    <cellStyle name="千位分隔 2 2 4 2 2 3 4" xfId="30209"/>
    <cellStyle name="千位分隔 2 2 4 2 2 3 5" xfId="30210"/>
    <cellStyle name="千位分隔 2 2 4 2 2 3 6" xfId="30211"/>
    <cellStyle name="千位分隔 2 2 4 2 2 4" xfId="30212"/>
    <cellStyle name="千位分隔 2 2 4 2 2 4 2" xfId="30213"/>
    <cellStyle name="千位分隔 2 2 4 2 2 5" xfId="30214"/>
    <cellStyle name="千位分隔 2 2 4 2 2 6" xfId="30215"/>
    <cellStyle name="千位分隔 2 2 4 2 2 7" xfId="30216"/>
    <cellStyle name="千位分隔 2 2 4 2 2 8" xfId="30217"/>
    <cellStyle name="千位分隔 2 2 4 2 3" xfId="30218"/>
    <cellStyle name="千位分隔 2 2 4 2 3 2" xfId="30219"/>
    <cellStyle name="千位分隔 2 2 4 2 3 2 2" xfId="30220"/>
    <cellStyle name="千位分隔 2 2 4 2 3 3" xfId="30221"/>
    <cellStyle name="千位分隔 2 2 4 2 3 4" xfId="30222"/>
    <cellStyle name="千位分隔 2 2 4 2 3 5" xfId="30223"/>
    <cellStyle name="千位分隔 2 2 4 2 3 6" xfId="30224"/>
    <cellStyle name="千位分隔 2 2 4 2 4" xfId="30225"/>
    <cellStyle name="千位分隔 2 2 4 2 4 2" xfId="30226"/>
    <cellStyle name="千位分隔 2 2 4 2 4 2 2" xfId="30227"/>
    <cellStyle name="千位分隔 2 2 4 2 4 3" xfId="30228"/>
    <cellStyle name="千位分隔 2 2 4 2 4 4" xfId="30229"/>
    <cellStyle name="千位分隔 2 2 4 2 4 5" xfId="30230"/>
    <cellStyle name="千位分隔 2 2 4 2 4 6" xfId="30231"/>
    <cellStyle name="千位分隔 2 2 4 2 5" xfId="30232"/>
    <cellStyle name="千位分隔 2 2 4 2 5 2" xfId="30233"/>
    <cellStyle name="千位分隔 2 2 4 2 6" xfId="30234"/>
    <cellStyle name="千位分隔 2 2 4 2 7" xfId="30235"/>
    <cellStyle name="千位分隔 2 2 4 2 8" xfId="30236"/>
    <cellStyle name="千位分隔 2 2 4 2 9" xfId="30237"/>
    <cellStyle name="千位分隔 2 2 4 3" xfId="30238"/>
    <cellStyle name="千位分隔 2 2 4 3 2" xfId="30239"/>
    <cellStyle name="千位分隔 2 2 4 3 2 2" xfId="30240"/>
    <cellStyle name="千位分隔 2 2 4 3 2 2 2" xfId="30241"/>
    <cellStyle name="千位分隔 2 2 4 3 2 3" xfId="30242"/>
    <cellStyle name="千位分隔 2 2 4 3 2 4" xfId="30243"/>
    <cellStyle name="千位分隔 2 2 4 3 2 5" xfId="30244"/>
    <cellStyle name="千位分隔 2 2 4 3 2 6" xfId="30245"/>
    <cellStyle name="千位分隔 2 2 4 3 2 7" xfId="30246"/>
    <cellStyle name="千位分隔 2 2 4 3 3" xfId="30247"/>
    <cellStyle name="千位分隔 2 2 4 3 3 2" xfId="30248"/>
    <cellStyle name="千位分隔 2 2 4 3 3 2 2" xfId="30249"/>
    <cellStyle name="千位分隔 2 2 4 3 3 3" xfId="30250"/>
    <cellStyle name="千位分隔 2 2 4 3 3 4" xfId="30251"/>
    <cellStyle name="千位分隔 2 2 4 3 3 5" xfId="30252"/>
    <cellStyle name="千位分隔 2 2 4 3 3 6" xfId="30253"/>
    <cellStyle name="千位分隔 2 2 4 3 3 7" xfId="30254"/>
    <cellStyle name="千位分隔 2 2 4 3 4" xfId="30255"/>
    <cellStyle name="千位分隔 2 2 4 3 4 2" xfId="30256"/>
    <cellStyle name="千位分隔 2 2 4 3 5" xfId="30257"/>
    <cellStyle name="千位分隔 2 2 4 3 5 2" xfId="30258"/>
    <cellStyle name="千位分隔 2 2 4 3 6" xfId="30259"/>
    <cellStyle name="千位分隔 2 2 4 3 6 2" xfId="30260"/>
    <cellStyle name="千位分隔 2 2 4 3 7" xfId="30261"/>
    <cellStyle name="千位分隔 2 2 4 3 8" xfId="30262"/>
    <cellStyle name="千位分隔 2 2 4 3 9" xfId="30263"/>
    <cellStyle name="千位分隔 2 2 4 4" xfId="30264"/>
    <cellStyle name="千位分隔 2 2 4 4 2" xfId="30265"/>
    <cellStyle name="千位分隔 2 2 4 4 2 2" xfId="30266"/>
    <cellStyle name="千位分隔 2 2 4 4 3" xfId="30267"/>
    <cellStyle name="千位分隔 2 2 4 4 4" xfId="30268"/>
    <cellStyle name="千位分隔 2 2 4 4 5" xfId="30269"/>
    <cellStyle name="千位分隔 2 2 4 4 6" xfId="30270"/>
    <cellStyle name="千位分隔 2 2 4 4 7" xfId="30271"/>
    <cellStyle name="千位分隔 2 2 4 5" xfId="30272"/>
    <cellStyle name="千位分隔 2 2 4 5 2" xfId="30273"/>
    <cellStyle name="千位分隔 2 2 4 5 2 2" xfId="30274"/>
    <cellStyle name="千位分隔 2 2 4 5 3" xfId="30275"/>
    <cellStyle name="千位分隔 2 2 4 5 4" xfId="30276"/>
    <cellStyle name="千位分隔 2 2 4 5 5" xfId="30277"/>
    <cellStyle name="千位分隔 2 2 4 5 6" xfId="30278"/>
    <cellStyle name="千位分隔 2 2 4 5 7" xfId="30279"/>
    <cellStyle name="千位分隔 2 2 4 6" xfId="30280"/>
    <cellStyle name="千位分隔 2 2 4 6 2" xfId="30281"/>
    <cellStyle name="千位分隔 2 2 4 7" xfId="30282"/>
    <cellStyle name="千位分隔 2 2 4 7 2" xfId="30283"/>
    <cellStyle name="千位分隔 2 2 4 8" xfId="30284"/>
    <cellStyle name="千位分隔 2 2 4 8 2" xfId="30285"/>
    <cellStyle name="千位分隔 2 2 4 9" xfId="30286"/>
    <cellStyle name="千位分隔 2 2 5" xfId="30287"/>
    <cellStyle name="千位分隔 2 2 5 10" xfId="30288"/>
    <cellStyle name="千位分隔 2 2 5 11" xfId="30289"/>
    <cellStyle name="千位分隔 2 2 5 2" xfId="30290"/>
    <cellStyle name="千位分隔 2 2 5 2 2" xfId="30291"/>
    <cellStyle name="千位分隔 2 2 5 2 2 2" xfId="30292"/>
    <cellStyle name="千位分隔 2 2 5 2 2 2 2" xfId="30293"/>
    <cellStyle name="千位分隔 2 2 5 2 2 2 2 2" xfId="30294"/>
    <cellStyle name="千位分隔 2 2 5 2 2 2 3" xfId="30295"/>
    <cellStyle name="千位分隔 2 2 5 2 2 2 4" xfId="30296"/>
    <cellStyle name="千位分隔 2 2 5 2 2 2 5" xfId="30297"/>
    <cellStyle name="千位分隔 2 2 5 2 2 2 6" xfId="30298"/>
    <cellStyle name="千位分隔 2 2 5 2 2 3" xfId="30299"/>
    <cellStyle name="千位分隔 2 2 5 2 2 3 2" xfId="30300"/>
    <cellStyle name="千位分隔 2 2 5 2 2 4" xfId="30301"/>
    <cellStyle name="千位分隔 2 2 5 2 2 5" xfId="30302"/>
    <cellStyle name="千位分隔 2 2 5 2 2 6" xfId="30303"/>
    <cellStyle name="千位分隔 2 2 5 2 2 7" xfId="30304"/>
    <cellStyle name="千位分隔 2 2 5 2 3" xfId="30305"/>
    <cellStyle name="千位分隔 2 2 5 2 3 2" xfId="30306"/>
    <cellStyle name="千位分隔 2 2 5 2 3 2 2" xfId="30307"/>
    <cellStyle name="千位分隔 2 2 5 2 3 3" xfId="30308"/>
    <cellStyle name="千位分隔 2 2 5 2 3 4" xfId="30309"/>
    <cellStyle name="千位分隔 2 2 5 2 3 5" xfId="30310"/>
    <cellStyle name="千位分隔 2 2 5 2 3 6" xfId="30311"/>
    <cellStyle name="千位分隔 2 2 5 2 4" xfId="30312"/>
    <cellStyle name="千位分隔 2 2 5 2 4 2" xfId="30313"/>
    <cellStyle name="千位分隔 2 2 5 2 5" xfId="30314"/>
    <cellStyle name="千位分隔 2 2 5 2 6" xfId="30315"/>
    <cellStyle name="千位分隔 2 2 5 2 7" xfId="30316"/>
    <cellStyle name="千位分隔 2 2 5 2 8" xfId="30317"/>
    <cellStyle name="千位分隔 2 2 5 3" xfId="30318"/>
    <cellStyle name="千位分隔 2 2 5 3 2" xfId="30319"/>
    <cellStyle name="千位分隔 2 2 5 3 2 2" xfId="30320"/>
    <cellStyle name="千位分隔 2 2 5 3 2 2 2" xfId="30321"/>
    <cellStyle name="千位分隔 2 2 5 3 2 3" xfId="30322"/>
    <cellStyle name="千位分隔 2 2 5 3 2 4" xfId="30323"/>
    <cellStyle name="千位分隔 2 2 5 3 2 5" xfId="30324"/>
    <cellStyle name="千位分隔 2 2 5 3 2 6" xfId="30325"/>
    <cellStyle name="千位分隔 2 2 5 3 3" xfId="30326"/>
    <cellStyle name="千位分隔 2 2 5 3 3 2" xfId="30327"/>
    <cellStyle name="千位分隔 2 2 5 3 3 2 2" xfId="30328"/>
    <cellStyle name="千位分隔 2 2 5 3 3 3" xfId="30329"/>
    <cellStyle name="千位分隔 2 2 5 3 3 4" xfId="30330"/>
    <cellStyle name="千位分隔 2 2 5 3 3 5" xfId="30331"/>
    <cellStyle name="千位分隔 2 2 5 3 3 6" xfId="30332"/>
    <cellStyle name="千位分隔 2 2 5 3 4" xfId="30333"/>
    <cellStyle name="千位分隔 2 2 5 3 4 2" xfId="30334"/>
    <cellStyle name="千位分隔 2 2 5 3 5" xfId="30335"/>
    <cellStyle name="千位分隔 2 2 5 3 6" xfId="30336"/>
    <cellStyle name="千位分隔 2 2 5 3 7" xfId="30337"/>
    <cellStyle name="千位分隔 2 2 5 3 8" xfId="30338"/>
    <cellStyle name="千位分隔 2 2 5 4" xfId="30339"/>
    <cellStyle name="千位分隔 2 2 5 4 2" xfId="30340"/>
    <cellStyle name="千位分隔 2 2 5 4 2 2" xfId="30341"/>
    <cellStyle name="千位分隔 2 2 5 4 3" xfId="30342"/>
    <cellStyle name="千位分隔 2 2 5 4 4" xfId="30343"/>
    <cellStyle name="千位分隔 2 2 5 4 5" xfId="30344"/>
    <cellStyle name="千位分隔 2 2 5 4 6" xfId="30345"/>
    <cellStyle name="千位分隔 2 2 5 5" xfId="30346"/>
    <cellStyle name="千位分隔 2 2 5 5 2" xfId="30347"/>
    <cellStyle name="千位分隔 2 2 5 5 2 2" xfId="30348"/>
    <cellStyle name="千位分隔 2 2 5 5 3" xfId="30349"/>
    <cellStyle name="千位分隔 2 2 5 5 4" xfId="30350"/>
    <cellStyle name="千位分隔 2 2 5 5 5" xfId="30351"/>
    <cellStyle name="千位分隔 2 2 5 5 6" xfId="30352"/>
    <cellStyle name="千位分隔 2 2 5 6" xfId="30353"/>
    <cellStyle name="千位分隔 2 2 5 6 2" xfId="30354"/>
    <cellStyle name="千位分隔 2 2 5 7" xfId="30355"/>
    <cellStyle name="千位分隔 2 2 5 8" xfId="30356"/>
    <cellStyle name="千位分隔 2 2 5 9" xfId="30357"/>
    <cellStyle name="千位分隔 2 2 6" xfId="30358"/>
    <cellStyle name="千位分隔 2 2 6 10" xfId="30359"/>
    <cellStyle name="千位分隔 2 2 6 2" xfId="30360"/>
    <cellStyle name="千位分隔 2 2 6 2 2" xfId="30361"/>
    <cellStyle name="千位分隔 2 2 6 2 2 2" xfId="30362"/>
    <cellStyle name="千位分隔 2 2 6 2 2 2 2" xfId="30363"/>
    <cellStyle name="千位分隔 2 2 6 2 2 3" xfId="30364"/>
    <cellStyle name="千位分隔 2 2 6 2 2 4" xfId="30365"/>
    <cellStyle name="千位分隔 2 2 6 2 2 5" xfId="30366"/>
    <cellStyle name="千位分隔 2 2 6 2 2 6" xfId="30367"/>
    <cellStyle name="千位分隔 2 2 6 2 3" xfId="30368"/>
    <cellStyle name="千位分隔 2 2 6 2 3 2" xfId="30369"/>
    <cellStyle name="千位分隔 2 2 6 2 3 2 2" xfId="30370"/>
    <cellStyle name="千位分隔 2 2 6 2 3 3" xfId="30371"/>
    <cellStyle name="千位分隔 2 2 6 2 3 4" xfId="30372"/>
    <cellStyle name="千位分隔 2 2 6 2 3 5" xfId="30373"/>
    <cellStyle name="千位分隔 2 2 6 2 3 6" xfId="30374"/>
    <cellStyle name="千位分隔 2 2 6 2 4" xfId="30375"/>
    <cellStyle name="千位分隔 2 2 6 2 4 2" xfId="30376"/>
    <cellStyle name="千位分隔 2 2 6 2 5" xfId="30377"/>
    <cellStyle name="千位分隔 2 2 6 2 6" xfId="30378"/>
    <cellStyle name="千位分隔 2 2 6 2 7" xfId="30379"/>
    <cellStyle name="千位分隔 2 2 6 2 8" xfId="30380"/>
    <cellStyle name="千位分隔 2 2 6 3" xfId="30381"/>
    <cellStyle name="千位分隔 2 2 6 3 2" xfId="30382"/>
    <cellStyle name="千位分隔 2 2 6 3 2 2" xfId="30383"/>
    <cellStyle name="千位分隔 2 2 6 3 3" xfId="30384"/>
    <cellStyle name="千位分隔 2 2 6 3 4" xfId="30385"/>
    <cellStyle name="千位分隔 2 2 6 3 5" xfId="30386"/>
    <cellStyle name="千位分隔 2 2 6 3 6" xfId="30387"/>
    <cellStyle name="千位分隔 2 2 6 4" xfId="30388"/>
    <cellStyle name="千位分隔 2 2 6 4 2" xfId="30389"/>
    <cellStyle name="千位分隔 2 2 6 4 2 2" xfId="30390"/>
    <cellStyle name="千位分隔 2 2 6 4 3" xfId="30391"/>
    <cellStyle name="千位分隔 2 2 6 4 4" xfId="30392"/>
    <cellStyle name="千位分隔 2 2 6 4 5" xfId="30393"/>
    <cellStyle name="千位分隔 2 2 6 4 6" xfId="30394"/>
    <cellStyle name="千位分隔 2 2 6 5" xfId="30395"/>
    <cellStyle name="千位分隔 2 2 6 5 2" xfId="30396"/>
    <cellStyle name="千位分隔 2 2 6 6" xfId="30397"/>
    <cellStyle name="千位分隔 2 2 6 7" xfId="30398"/>
    <cellStyle name="千位分隔 2 2 6 8" xfId="30399"/>
    <cellStyle name="千位分隔 2 2 6 9" xfId="30400"/>
    <cellStyle name="千位分隔 2 2 7" xfId="30401"/>
    <cellStyle name="千位分隔 2 2 7 2" xfId="30402"/>
    <cellStyle name="千位分隔 2 2 7 2 2" xfId="30403"/>
    <cellStyle name="千位分隔 2 2 7 2 2 2" xfId="30404"/>
    <cellStyle name="千位分隔 2 2 7 2 3" xfId="30405"/>
    <cellStyle name="千位分隔 2 2 7 2 4" xfId="30406"/>
    <cellStyle name="千位分隔 2 2 7 2 5" xfId="30407"/>
    <cellStyle name="千位分隔 2 2 7 2 6" xfId="30408"/>
    <cellStyle name="千位分隔 2 2 7 3" xfId="30409"/>
    <cellStyle name="千位分隔 2 2 7 3 2" xfId="30410"/>
    <cellStyle name="千位分隔 2 2 7 3 2 2" xfId="30411"/>
    <cellStyle name="千位分隔 2 2 7 3 3" xfId="30412"/>
    <cellStyle name="千位分隔 2 2 7 3 4" xfId="30413"/>
    <cellStyle name="千位分隔 2 2 7 3 5" xfId="30414"/>
    <cellStyle name="千位分隔 2 2 7 3 6" xfId="30415"/>
    <cellStyle name="千位分隔 2 2 7 4" xfId="30416"/>
    <cellStyle name="千位分隔 2 2 7 4 2" xfId="30417"/>
    <cellStyle name="千位分隔 2 2 7 5" xfId="30418"/>
    <cellStyle name="千位分隔 2 2 7 6" xfId="30419"/>
    <cellStyle name="千位分隔 2 2 7 7" xfId="30420"/>
    <cellStyle name="千位分隔 2 2 7 8" xfId="30421"/>
    <cellStyle name="千位分隔 2 2 7 9" xfId="30422"/>
    <cellStyle name="千位分隔 2 2 8" xfId="30423"/>
    <cellStyle name="千位分隔 2 2 8 2" xfId="30424"/>
    <cellStyle name="千位分隔 2 2 8 2 2" xfId="30425"/>
    <cellStyle name="千位分隔 2 2 8 2 2 2" xfId="30426"/>
    <cellStyle name="千位分隔 2 2 8 3" xfId="30427"/>
    <cellStyle name="千位分隔 2 2 8 3 2" xfId="30428"/>
    <cellStyle name="千位分隔 2 2 8 4" xfId="30429"/>
    <cellStyle name="千位分隔 2 2 8 4 2" xfId="30430"/>
    <cellStyle name="千位分隔 2 2 8 5" xfId="30431"/>
    <cellStyle name="千位分隔 2 2 8 6" xfId="30432"/>
    <cellStyle name="千位分隔 2 2 8 7" xfId="30433"/>
    <cellStyle name="千位分隔 2 2 9" xfId="30434"/>
    <cellStyle name="千位分隔 2 2 9 2" xfId="30435"/>
    <cellStyle name="千位分隔 2 2 9 2 2" xfId="30436"/>
    <cellStyle name="千位分隔 2 2 9 2 3" xfId="30437"/>
    <cellStyle name="千位分隔 2 2 9 3" xfId="30438"/>
    <cellStyle name="千位分隔 2 2 9 3 2" xfId="30439"/>
    <cellStyle name="千位分隔 2 2 9 4" xfId="30440"/>
    <cellStyle name="千位分隔 2 2 9 5" xfId="30441"/>
    <cellStyle name="千位分隔 2 2 9 6" xfId="30442"/>
    <cellStyle name="千位分隔 2 2 9 7" xfId="30443"/>
    <cellStyle name="千位分隔 2 3" xfId="30444"/>
    <cellStyle name="千位分隔 2 3 2" xfId="30445"/>
    <cellStyle name="千位分隔 2 3 2 2" xfId="30446"/>
    <cellStyle name="千位分隔 2 3 2 2 2" xfId="30447"/>
    <cellStyle name="千位分隔 2 3 2 3" xfId="30448"/>
    <cellStyle name="千位分隔 2 3 2 4" xfId="30449"/>
    <cellStyle name="千位分隔 2 3 2 5" xfId="30450"/>
    <cellStyle name="千位分隔 2 3 3" xfId="30451"/>
    <cellStyle name="千位分隔 2 3 3 2" xfId="30452"/>
    <cellStyle name="千位分隔 2 3 4" xfId="30453"/>
    <cellStyle name="千位分隔 2 3 4 2" xfId="30454"/>
    <cellStyle name="千位分隔 2 3 5" xfId="30455"/>
    <cellStyle name="千位分隔 2 4" xfId="30456"/>
    <cellStyle name="千位分隔 2 4 10" xfId="30457"/>
    <cellStyle name="千位分隔 2 4 10 2" xfId="30458"/>
    <cellStyle name="千位分隔 2 4 11" xfId="30459"/>
    <cellStyle name="千位分隔 2 4 12" xfId="30460"/>
    <cellStyle name="千位分隔 2 4 13" xfId="30461"/>
    <cellStyle name="千位分隔 2 4 2" xfId="30462"/>
    <cellStyle name="千位分隔 2 4 2 10" xfId="30463"/>
    <cellStyle name="千位分隔 2 4 2 11" xfId="30464"/>
    <cellStyle name="千位分隔 2 4 2 2" xfId="30465"/>
    <cellStyle name="千位分隔 2 4 2 2 10" xfId="30466"/>
    <cellStyle name="千位分隔 2 4 2 2 2" xfId="30467"/>
    <cellStyle name="千位分隔 2 4 2 2 2 2" xfId="30468"/>
    <cellStyle name="千位分隔 2 4 2 2 2 2 2" xfId="30469"/>
    <cellStyle name="千位分隔 2 4 2 2 2 2 2 2" xfId="30470"/>
    <cellStyle name="千位分隔 2 4 2 2 2 2 3" xfId="30471"/>
    <cellStyle name="千位分隔 2 4 2 2 2 2 4" xfId="30472"/>
    <cellStyle name="千位分隔 2 4 2 2 2 2 5" xfId="30473"/>
    <cellStyle name="千位分隔 2 4 2 2 2 2 6" xfId="30474"/>
    <cellStyle name="千位分隔 2 4 2 2 2 2 7" xfId="30475"/>
    <cellStyle name="千位分隔 2 4 2 2 2 3" xfId="30476"/>
    <cellStyle name="千位分隔 2 4 2 2 2 3 2" xfId="30477"/>
    <cellStyle name="千位分隔 2 4 2 2 2 3 2 2" xfId="30478"/>
    <cellStyle name="千位分隔 2 4 2 2 2 3 3" xfId="30479"/>
    <cellStyle name="千位分隔 2 4 2 2 2 3 4" xfId="30480"/>
    <cellStyle name="千位分隔 2 4 2 2 2 3 5" xfId="30481"/>
    <cellStyle name="千位分隔 2 4 2 2 2 3 6" xfId="30482"/>
    <cellStyle name="千位分隔 2 4 2 2 2 3 7" xfId="30483"/>
    <cellStyle name="千位分隔 2 4 2 2 2 4" xfId="30484"/>
    <cellStyle name="千位分隔 2 4 2 2 2 4 2" xfId="30485"/>
    <cellStyle name="千位分隔 2 4 2 2 2 5" xfId="30486"/>
    <cellStyle name="千位分隔 2 4 2 2 2 5 2" xfId="30487"/>
    <cellStyle name="千位分隔 2 4 2 2 2 6" xfId="30488"/>
    <cellStyle name="千位分隔 2 4 2 2 2 6 2" xfId="30489"/>
    <cellStyle name="千位分隔 2 4 2 2 2 7" xfId="30490"/>
    <cellStyle name="千位分隔 2 4 2 2 2 8" xfId="30491"/>
    <cellStyle name="千位分隔 2 4 2 2 2 9" xfId="30492"/>
    <cellStyle name="千位分隔 2 4 2 2 3" xfId="30493"/>
    <cellStyle name="千位分隔 2 4 2 2 3 2" xfId="30494"/>
    <cellStyle name="千位分隔 2 4 2 2 3 2 2" xfId="30495"/>
    <cellStyle name="千位分隔 2 4 2 2 3 3" xfId="30496"/>
    <cellStyle name="千位分隔 2 4 2 2 3 4" xfId="30497"/>
    <cellStyle name="千位分隔 2 4 2 2 3 5" xfId="30498"/>
    <cellStyle name="千位分隔 2 4 2 2 3 6" xfId="30499"/>
    <cellStyle name="千位分隔 2 4 2 2 3 7" xfId="30500"/>
    <cellStyle name="千位分隔 2 4 2 2 4" xfId="30501"/>
    <cellStyle name="千位分隔 2 4 2 2 4 2" xfId="30502"/>
    <cellStyle name="千位分隔 2 4 2 2 4 2 2" xfId="30503"/>
    <cellStyle name="千位分隔 2 4 2 2 4 3" xfId="30504"/>
    <cellStyle name="千位分隔 2 4 2 2 4 4" xfId="30505"/>
    <cellStyle name="千位分隔 2 4 2 2 4 5" xfId="30506"/>
    <cellStyle name="千位分隔 2 4 2 2 4 6" xfId="30507"/>
    <cellStyle name="千位分隔 2 4 2 2 4 7" xfId="30508"/>
    <cellStyle name="千位分隔 2 4 2 2 5" xfId="30509"/>
    <cellStyle name="千位分隔 2 4 2 2 5 2" xfId="30510"/>
    <cellStyle name="千位分隔 2 4 2 2 6" xfId="30511"/>
    <cellStyle name="千位分隔 2 4 2 2 6 2" xfId="30512"/>
    <cellStyle name="千位分隔 2 4 2 2 7" xfId="30513"/>
    <cellStyle name="千位分隔 2 4 2 2 7 2" xfId="30514"/>
    <cellStyle name="千位分隔 2 4 2 2 8" xfId="30515"/>
    <cellStyle name="千位分隔 2 4 2 2 9" xfId="30516"/>
    <cellStyle name="千位分隔 2 4 2 3" xfId="30517"/>
    <cellStyle name="千位分隔 2 4 2 3 2" xfId="30518"/>
    <cellStyle name="千位分隔 2 4 2 3 2 2" xfId="30519"/>
    <cellStyle name="千位分隔 2 4 2 3 2 2 2" xfId="30520"/>
    <cellStyle name="千位分隔 2 4 2 3 2 3" xfId="30521"/>
    <cellStyle name="千位分隔 2 4 2 3 2 3 2" xfId="30522"/>
    <cellStyle name="千位分隔 2 4 2 3 2 4" xfId="30523"/>
    <cellStyle name="千位分隔 2 4 2 3 2 4 2" xfId="30524"/>
    <cellStyle name="千位分隔 2 4 2 3 2 5" xfId="30525"/>
    <cellStyle name="千位分隔 2 4 2 3 2 6" xfId="30526"/>
    <cellStyle name="千位分隔 2 4 2 3 2 7" xfId="30527"/>
    <cellStyle name="千位分隔 2 4 2 3 3" xfId="30528"/>
    <cellStyle name="千位分隔 2 4 2 3 3 2" xfId="30529"/>
    <cellStyle name="千位分隔 2 4 2 3 3 2 2" xfId="30530"/>
    <cellStyle name="千位分隔 2 4 2 3 3 3" xfId="30531"/>
    <cellStyle name="千位分隔 2 4 2 3 3 4" xfId="30532"/>
    <cellStyle name="千位分隔 2 4 2 3 3 5" xfId="30533"/>
    <cellStyle name="千位分隔 2 4 2 3 3 6" xfId="30534"/>
    <cellStyle name="千位分隔 2 4 2 3 3 7" xfId="30535"/>
    <cellStyle name="千位分隔 2 4 2 3 4" xfId="30536"/>
    <cellStyle name="千位分隔 2 4 2 3 4 2" xfId="30537"/>
    <cellStyle name="千位分隔 2 4 2 3 5" xfId="30538"/>
    <cellStyle name="千位分隔 2 4 2 3 5 2" xfId="30539"/>
    <cellStyle name="千位分隔 2 4 2 3 6" xfId="30540"/>
    <cellStyle name="千位分隔 2 4 2 3 6 2" xfId="30541"/>
    <cellStyle name="千位分隔 2 4 2 3 7" xfId="30542"/>
    <cellStyle name="千位分隔 2 4 2 3 8" xfId="30543"/>
    <cellStyle name="千位分隔 2 4 2 3 9" xfId="30544"/>
    <cellStyle name="千位分隔 2 4 2 4" xfId="30545"/>
    <cellStyle name="千位分隔 2 4 2 4 2" xfId="30546"/>
    <cellStyle name="千位分隔 2 4 2 4 2 2" xfId="30547"/>
    <cellStyle name="千位分隔 2 4 2 4 3" xfId="30548"/>
    <cellStyle name="千位分隔 2 4 2 4 3 2" xfId="30549"/>
    <cellStyle name="千位分隔 2 4 2 4 4" xfId="30550"/>
    <cellStyle name="千位分隔 2 4 2 4 4 2" xfId="30551"/>
    <cellStyle name="千位分隔 2 4 2 4 5" xfId="30552"/>
    <cellStyle name="千位分隔 2 4 2 4 6" xfId="30553"/>
    <cellStyle name="千位分隔 2 4 2 4 7" xfId="30554"/>
    <cellStyle name="千位分隔 2 4 2 5" xfId="30555"/>
    <cellStyle name="千位分隔 2 4 2 5 2" xfId="30556"/>
    <cellStyle name="千位分隔 2 4 2 5 2 2" xfId="30557"/>
    <cellStyle name="千位分隔 2 4 2 5 3" xfId="30558"/>
    <cellStyle name="千位分隔 2 4 2 5 4" xfId="30559"/>
    <cellStyle name="千位分隔 2 4 2 5 5" xfId="30560"/>
    <cellStyle name="千位分隔 2 4 2 5 6" xfId="30561"/>
    <cellStyle name="千位分隔 2 4 2 5 7" xfId="30562"/>
    <cellStyle name="千位分隔 2 4 2 6" xfId="30563"/>
    <cellStyle name="千位分隔 2 4 2 6 2" xfId="30564"/>
    <cellStyle name="千位分隔 2 4 2 7" xfId="30565"/>
    <cellStyle name="千位分隔 2 4 2 7 2" xfId="30566"/>
    <cellStyle name="千位分隔 2 4 2 8" xfId="30567"/>
    <cellStyle name="千位分隔 2 4 2 8 2" xfId="30568"/>
    <cellStyle name="千位分隔 2 4 2 9" xfId="30569"/>
    <cellStyle name="千位分隔 2 4 3" xfId="30570"/>
    <cellStyle name="千位分隔 2 4 3 10" xfId="30571"/>
    <cellStyle name="千位分隔 2 4 3 11" xfId="30572"/>
    <cellStyle name="千位分隔 2 4 3 2" xfId="30573"/>
    <cellStyle name="千位分隔 2 4 3 2 2" xfId="30574"/>
    <cellStyle name="千位分隔 2 4 3 2 2 2" xfId="30575"/>
    <cellStyle name="千位分隔 2 4 3 2 2 2 2" xfId="30576"/>
    <cellStyle name="千位分隔 2 4 3 2 2 2 2 2" xfId="30577"/>
    <cellStyle name="千位分隔 2 4 3 2 2 2 3" xfId="30578"/>
    <cellStyle name="千位分隔 2 4 3 2 2 2 4" xfId="30579"/>
    <cellStyle name="千位分隔 2 4 3 2 2 2 5" xfId="30580"/>
    <cellStyle name="千位分隔 2 4 3 2 2 2 6" xfId="30581"/>
    <cellStyle name="千位分隔 2 4 3 2 2 3" xfId="30582"/>
    <cellStyle name="千位分隔 2 4 3 2 2 3 2" xfId="30583"/>
    <cellStyle name="千位分隔 2 4 3 2 2 4" xfId="30584"/>
    <cellStyle name="千位分隔 2 4 3 2 2 5" xfId="30585"/>
    <cellStyle name="千位分隔 2 4 3 2 2 6" xfId="30586"/>
    <cellStyle name="千位分隔 2 4 3 2 2 7" xfId="30587"/>
    <cellStyle name="千位分隔 2 4 3 2 3" xfId="30588"/>
    <cellStyle name="千位分隔 2 4 3 2 3 2" xfId="30589"/>
    <cellStyle name="千位分隔 2 4 3 2 3 2 2" xfId="30590"/>
    <cellStyle name="千位分隔 2 4 3 2 3 3" xfId="30591"/>
    <cellStyle name="千位分隔 2 4 3 2 3 4" xfId="30592"/>
    <cellStyle name="千位分隔 2 4 3 2 3 5" xfId="30593"/>
    <cellStyle name="千位分隔 2 4 3 2 3 6" xfId="30594"/>
    <cellStyle name="千位分隔 2 4 3 2 4" xfId="30595"/>
    <cellStyle name="千位分隔 2 4 3 2 4 2" xfId="30596"/>
    <cellStyle name="千位分隔 2 4 3 2 5" xfId="30597"/>
    <cellStyle name="千位分隔 2 4 3 2 6" xfId="30598"/>
    <cellStyle name="千位分隔 2 4 3 2 7" xfId="30599"/>
    <cellStyle name="千位分隔 2 4 3 2 8" xfId="30600"/>
    <cellStyle name="千位分隔 2 4 3 3" xfId="30601"/>
    <cellStyle name="千位分隔 2 4 3 3 2" xfId="30602"/>
    <cellStyle name="千位分隔 2 4 3 3 2 2" xfId="30603"/>
    <cellStyle name="千位分隔 2 4 3 3 2 2 2" xfId="30604"/>
    <cellStyle name="千位分隔 2 4 3 3 2 3" xfId="30605"/>
    <cellStyle name="千位分隔 2 4 3 3 2 4" xfId="30606"/>
    <cellStyle name="千位分隔 2 4 3 3 2 5" xfId="30607"/>
    <cellStyle name="千位分隔 2 4 3 3 2 6" xfId="30608"/>
    <cellStyle name="千位分隔 2 4 3 3 2 7" xfId="30609"/>
    <cellStyle name="千位分隔 2 4 3 3 3" xfId="30610"/>
    <cellStyle name="千位分隔 2 4 3 3 3 2" xfId="30611"/>
    <cellStyle name="千位分隔 2 4 3 3 3 2 2" xfId="30612"/>
    <cellStyle name="千位分隔 2 4 3 3 3 3" xfId="30613"/>
    <cellStyle name="千位分隔 2 4 3 3 3 4" xfId="30614"/>
    <cellStyle name="千位分隔 2 4 3 3 3 5" xfId="30615"/>
    <cellStyle name="千位分隔 2 4 3 3 3 6" xfId="30616"/>
    <cellStyle name="千位分隔 2 4 3 3 3 7" xfId="30617"/>
    <cellStyle name="千位分隔 2 4 3 3 4" xfId="30618"/>
    <cellStyle name="千位分隔 2 4 3 3 4 2" xfId="30619"/>
    <cellStyle name="千位分隔 2 4 3 3 5" xfId="30620"/>
    <cellStyle name="千位分隔 2 4 3 3 5 2" xfId="30621"/>
    <cellStyle name="千位分隔 2 4 3 3 6" xfId="30622"/>
    <cellStyle name="千位分隔 2 4 3 3 6 2" xfId="30623"/>
    <cellStyle name="千位分隔 2 4 3 3 7" xfId="30624"/>
    <cellStyle name="千位分隔 2 4 3 3 8" xfId="30625"/>
    <cellStyle name="千位分隔 2 4 3 3 9" xfId="30626"/>
    <cellStyle name="千位分隔 2 4 3 4" xfId="30627"/>
    <cellStyle name="千位分隔 2 4 3 4 2" xfId="30628"/>
    <cellStyle name="千位分隔 2 4 3 4 2 2" xfId="30629"/>
    <cellStyle name="千位分隔 2 4 3 4 3" xfId="30630"/>
    <cellStyle name="千位分隔 2 4 3 4 4" xfId="30631"/>
    <cellStyle name="千位分隔 2 4 3 4 5" xfId="30632"/>
    <cellStyle name="千位分隔 2 4 3 4 6" xfId="30633"/>
    <cellStyle name="千位分隔 2 4 3 4 7" xfId="30634"/>
    <cellStyle name="千位分隔 2 4 3 5" xfId="30635"/>
    <cellStyle name="千位分隔 2 4 3 5 2" xfId="30636"/>
    <cellStyle name="千位分隔 2 4 3 5 2 2" xfId="30637"/>
    <cellStyle name="千位分隔 2 4 3 5 3" xfId="30638"/>
    <cellStyle name="千位分隔 2 4 3 5 4" xfId="30639"/>
    <cellStyle name="千位分隔 2 4 3 5 5" xfId="30640"/>
    <cellStyle name="千位分隔 2 4 3 5 6" xfId="30641"/>
    <cellStyle name="千位分隔 2 4 3 5 7" xfId="30642"/>
    <cellStyle name="千位分隔 2 4 3 6" xfId="30643"/>
    <cellStyle name="千位分隔 2 4 3 6 2" xfId="30644"/>
    <cellStyle name="千位分隔 2 4 3 7" xfId="30645"/>
    <cellStyle name="千位分隔 2 4 3 7 2" xfId="30646"/>
    <cellStyle name="千位分隔 2 4 3 8" xfId="30647"/>
    <cellStyle name="千位分隔 2 4 3 8 2" xfId="30648"/>
    <cellStyle name="千位分隔 2 4 3 9" xfId="30649"/>
    <cellStyle name="千位分隔 2 4 4" xfId="30650"/>
    <cellStyle name="千位分隔 2 4 4 10" xfId="30651"/>
    <cellStyle name="千位分隔 2 4 4 2" xfId="30652"/>
    <cellStyle name="千位分隔 2 4 4 2 2" xfId="30653"/>
    <cellStyle name="千位分隔 2 4 4 2 2 2" xfId="30654"/>
    <cellStyle name="千位分隔 2 4 4 2 2 2 2" xfId="30655"/>
    <cellStyle name="千位分隔 2 4 4 2 2 3" xfId="30656"/>
    <cellStyle name="千位分隔 2 4 4 2 2 4" xfId="30657"/>
    <cellStyle name="千位分隔 2 4 4 2 2 5" xfId="30658"/>
    <cellStyle name="千位分隔 2 4 4 2 2 6" xfId="30659"/>
    <cellStyle name="千位分隔 2 4 4 2 3" xfId="30660"/>
    <cellStyle name="千位分隔 2 4 4 2 3 2" xfId="30661"/>
    <cellStyle name="千位分隔 2 4 4 2 3 2 2" xfId="30662"/>
    <cellStyle name="千位分隔 2 4 4 2 3 3" xfId="30663"/>
    <cellStyle name="千位分隔 2 4 4 2 3 4" xfId="30664"/>
    <cellStyle name="千位分隔 2 4 4 2 3 5" xfId="30665"/>
    <cellStyle name="千位分隔 2 4 4 2 3 6" xfId="30666"/>
    <cellStyle name="千位分隔 2 4 4 2 4" xfId="30667"/>
    <cellStyle name="千位分隔 2 4 4 2 4 2" xfId="30668"/>
    <cellStyle name="千位分隔 2 4 4 2 5" xfId="30669"/>
    <cellStyle name="千位分隔 2 4 4 2 6" xfId="30670"/>
    <cellStyle name="千位分隔 2 4 4 2 7" xfId="30671"/>
    <cellStyle name="千位分隔 2 4 4 2 8" xfId="30672"/>
    <cellStyle name="千位分隔 2 4 4 3" xfId="30673"/>
    <cellStyle name="千位分隔 2 4 4 3 2" xfId="30674"/>
    <cellStyle name="千位分隔 2 4 4 3 2 2" xfId="30675"/>
    <cellStyle name="千位分隔 2 4 4 3 3" xfId="30676"/>
    <cellStyle name="千位分隔 2 4 4 3 4" xfId="30677"/>
    <cellStyle name="千位分隔 2 4 4 3 5" xfId="30678"/>
    <cellStyle name="千位分隔 2 4 4 3 6" xfId="30679"/>
    <cellStyle name="千位分隔 2 4 4 4" xfId="30680"/>
    <cellStyle name="千位分隔 2 4 4 4 2" xfId="30681"/>
    <cellStyle name="千位分隔 2 4 4 4 2 2" xfId="30682"/>
    <cellStyle name="千位分隔 2 4 4 4 3" xfId="30683"/>
    <cellStyle name="千位分隔 2 4 4 4 4" xfId="30684"/>
    <cellStyle name="千位分隔 2 4 4 4 5" xfId="30685"/>
    <cellStyle name="千位分隔 2 4 4 4 6" xfId="30686"/>
    <cellStyle name="千位分隔 2 4 4 5" xfId="30687"/>
    <cellStyle name="千位分隔 2 4 4 5 2" xfId="30688"/>
    <cellStyle name="千位分隔 2 4 4 6" xfId="30689"/>
    <cellStyle name="千位分隔 2 4 4 7" xfId="30690"/>
    <cellStyle name="千位分隔 2 4 4 8" xfId="30691"/>
    <cellStyle name="千位分隔 2 4 4 9" xfId="30692"/>
    <cellStyle name="千位分隔 2 4 5" xfId="30693"/>
    <cellStyle name="千位分隔 2 4 5 2" xfId="30694"/>
    <cellStyle name="千位分隔 2 4 5 2 2" xfId="30695"/>
    <cellStyle name="千位分隔 2 4 5 2 2 2" xfId="30696"/>
    <cellStyle name="千位分隔 2 4 5 2 3" xfId="30697"/>
    <cellStyle name="千位分隔 2 4 5 2 4" xfId="30698"/>
    <cellStyle name="千位分隔 2 4 5 2 5" xfId="30699"/>
    <cellStyle name="千位分隔 2 4 5 2 6" xfId="30700"/>
    <cellStyle name="千位分隔 2 4 5 3" xfId="30701"/>
    <cellStyle name="千位分隔 2 4 5 3 2" xfId="30702"/>
    <cellStyle name="千位分隔 2 4 5 3 2 2" xfId="30703"/>
    <cellStyle name="千位分隔 2 4 5 3 3" xfId="30704"/>
    <cellStyle name="千位分隔 2 4 5 3 4" xfId="30705"/>
    <cellStyle name="千位分隔 2 4 5 3 5" xfId="30706"/>
    <cellStyle name="千位分隔 2 4 5 3 6" xfId="30707"/>
    <cellStyle name="千位分隔 2 4 5 4" xfId="30708"/>
    <cellStyle name="千位分隔 2 4 5 4 2" xfId="30709"/>
    <cellStyle name="千位分隔 2 4 5 5" xfId="30710"/>
    <cellStyle name="千位分隔 2 4 5 6" xfId="30711"/>
    <cellStyle name="千位分隔 2 4 5 7" xfId="30712"/>
    <cellStyle name="千位分隔 2 4 5 8" xfId="30713"/>
    <cellStyle name="千位分隔 2 4 6" xfId="30714"/>
    <cellStyle name="千位分隔 2 4 6 2" xfId="30715"/>
    <cellStyle name="千位分隔 2 4 6 2 2" xfId="30716"/>
    <cellStyle name="千位分隔 2 4 6 3" xfId="30717"/>
    <cellStyle name="千位分隔 2 4 6 3 2" xfId="30718"/>
    <cellStyle name="千位分隔 2 4 6 4" xfId="30719"/>
    <cellStyle name="千位分隔 2 4 6 4 2" xfId="30720"/>
    <cellStyle name="千位分隔 2 4 6 5" xfId="30721"/>
    <cellStyle name="千位分隔 2 4 6 6" xfId="30722"/>
    <cellStyle name="千位分隔 2 4 6 7" xfId="30723"/>
    <cellStyle name="千位分隔 2 4 7" xfId="30724"/>
    <cellStyle name="千位分隔 2 4 7 2" xfId="30725"/>
    <cellStyle name="千位分隔 2 4 7 2 2" xfId="30726"/>
    <cellStyle name="千位分隔 2 4 7 3" xfId="30727"/>
    <cellStyle name="千位分隔 2 4 7 4" xfId="30728"/>
    <cellStyle name="千位分隔 2 4 7 5" xfId="30729"/>
    <cellStyle name="千位分隔 2 4 7 6" xfId="30730"/>
    <cellStyle name="千位分隔 2 4 7 7" xfId="30731"/>
    <cellStyle name="千位分隔 2 4 8" xfId="30732"/>
    <cellStyle name="千位分隔 2 4 8 2" xfId="30733"/>
    <cellStyle name="千位分隔 2 4 9" xfId="30734"/>
    <cellStyle name="千位分隔 2 4 9 2" xfId="30735"/>
    <cellStyle name="千位分隔 2 5" xfId="30736"/>
    <cellStyle name="千位分隔 2 5 2" xfId="30737"/>
    <cellStyle name="千位分隔 2 5 2 2" xfId="30738"/>
    <cellStyle name="千位分隔 2 5 2 2 2" xfId="30739"/>
    <cellStyle name="千位分隔 2 5 2 3" xfId="30740"/>
    <cellStyle name="千位分隔 2 5 3" xfId="30741"/>
    <cellStyle name="千位分隔 2 5 4" xfId="30742"/>
    <cellStyle name="千位分隔 2 5 5" xfId="30743"/>
    <cellStyle name="千位分隔 2 6" xfId="30744"/>
    <cellStyle name="千位分隔 2 6 2" xfId="30745"/>
    <cellStyle name="千位分隔 2 6 2 2" xfId="30746"/>
    <cellStyle name="千位分隔 2 6 2 2 2" xfId="30747"/>
    <cellStyle name="千位分隔 2 6 2 3" xfId="30748"/>
    <cellStyle name="千位分隔 2 6 3" xfId="30749"/>
    <cellStyle name="千位分隔 2 6 4" xfId="30750"/>
    <cellStyle name="千位分隔 2 6 5" xfId="30751"/>
    <cellStyle name="千位分隔 2 7" xfId="30752"/>
    <cellStyle name="千位分隔 2 7 10" xfId="30753"/>
    <cellStyle name="千位分隔 2 7 11" xfId="30754"/>
    <cellStyle name="千位分隔 2 7 11 2" xfId="30755"/>
    <cellStyle name="千位分隔 2 7 2" xfId="30756"/>
    <cellStyle name="千位分隔 2 7 2 10" xfId="30757"/>
    <cellStyle name="千位分隔 2 7 2 2" xfId="30758"/>
    <cellStyle name="千位分隔 2 7 2 2 2" xfId="30759"/>
    <cellStyle name="千位分隔 2 7 2 2 2 2" xfId="30760"/>
    <cellStyle name="千位分隔 2 7 2 2 2 2 2" xfId="30761"/>
    <cellStyle name="千位分隔 2 7 2 2 2 3" xfId="30762"/>
    <cellStyle name="千位分隔 2 7 2 2 2 3 2" xfId="30763"/>
    <cellStyle name="千位分隔 2 7 2 2 2 4" xfId="30764"/>
    <cellStyle name="千位分隔 2 7 2 2 2 4 2" xfId="30765"/>
    <cellStyle name="千位分隔 2 7 2 2 2 5" xfId="30766"/>
    <cellStyle name="千位分隔 2 7 2 2 2 6" xfId="30767"/>
    <cellStyle name="千位分隔 2 7 2 2 2 7" xfId="30768"/>
    <cellStyle name="千位分隔 2 7 2 2 3" xfId="30769"/>
    <cellStyle name="千位分隔 2 7 2 2 3 2" xfId="30770"/>
    <cellStyle name="千位分隔 2 7 2 2 3 2 2" xfId="30771"/>
    <cellStyle name="千位分隔 2 7 2 2 3 3" xfId="30772"/>
    <cellStyle name="千位分隔 2 7 2 2 3 4" xfId="30773"/>
    <cellStyle name="千位分隔 2 7 2 2 3 5" xfId="30774"/>
    <cellStyle name="千位分隔 2 7 2 2 3 6" xfId="30775"/>
    <cellStyle name="千位分隔 2 7 2 2 3 7" xfId="30776"/>
    <cellStyle name="千位分隔 2 7 2 2 4" xfId="30777"/>
    <cellStyle name="千位分隔 2 7 2 2 4 2" xfId="30778"/>
    <cellStyle name="千位分隔 2 7 2 2 5" xfId="30779"/>
    <cellStyle name="千位分隔 2 7 2 2 5 2" xfId="30780"/>
    <cellStyle name="千位分隔 2 7 2 2 6" xfId="30781"/>
    <cellStyle name="千位分隔 2 7 2 2 6 2" xfId="30782"/>
    <cellStyle name="千位分隔 2 7 2 2 7" xfId="30783"/>
    <cellStyle name="千位分隔 2 7 2 2 8" xfId="30784"/>
    <cellStyle name="千位分隔 2 7 2 2 9" xfId="30785"/>
    <cellStyle name="千位分隔 2 7 2 3" xfId="30786"/>
    <cellStyle name="千位分隔 2 7 2 3 2" xfId="30787"/>
    <cellStyle name="千位分隔 2 7 2 3 2 2" xfId="30788"/>
    <cellStyle name="千位分隔 2 7 2 3 2 3" xfId="30789"/>
    <cellStyle name="千位分隔 2 7 2 3 2 4" xfId="30790"/>
    <cellStyle name="千位分隔 2 7 2 3 2 5" xfId="30791"/>
    <cellStyle name="千位分隔 2 7 2 3 2 6" xfId="30792"/>
    <cellStyle name="千位分隔 2 7 2 3 2 7" xfId="30793"/>
    <cellStyle name="千位分隔 2 7 2 3 3" xfId="30794"/>
    <cellStyle name="千位分隔 2 7 2 3 3 2" xfId="30795"/>
    <cellStyle name="千位分隔 2 7 2 3 4" xfId="30796"/>
    <cellStyle name="千位分隔 2 7 2 3 4 2" xfId="30797"/>
    <cellStyle name="千位分隔 2 7 2 3 5" xfId="30798"/>
    <cellStyle name="千位分隔 2 7 2 3 6" xfId="30799"/>
    <cellStyle name="千位分隔 2 7 2 3 7" xfId="30800"/>
    <cellStyle name="千位分隔 2 7 2 3 8" xfId="30801"/>
    <cellStyle name="千位分隔 2 7 2 4" xfId="30802"/>
    <cellStyle name="千位分隔 2 7 2 4 2" xfId="30803"/>
    <cellStyle name="千位分隔 2 7 2 4 2 2" xfId="30804"/>
    <cellStyle name="千位分隔 2 7 2 4 3" xfId="30805"/>
    <cellStyle name="千位分隔 2 7 2 4 3 2" xfId="30806"/>
    <cellStyle name="千位分隔 2 7 2 4 4" xfId="30807"/>
    <cellStyle name="千位分隔 2 7 2 4 4 2" xfId="30808"/>
    <cellStyle name="千位分隔 2 7 2 4 5" xfId="30809"/>
    <cellStyle name="千位分隔 2 7 2 4 6" xfId="30810"/>
    <cellStyle name="千位分隔 2 7 2 4 7" xfId="30811"/>
    <cellStyle name="千位分隔 2 7 2 5" xfId="30812"/>
    <cellStyle name="千位分隔 2 7 2 5 2" xfId="30813"/>
    <cellStyle name="千位分隔 2 7 2 6" xfId="30814"/>
    <cellStyle name="千位分隔 2 7 2 6 2" xfId="30815"/>
    <cellStyle name="千位分隔 2 7 2 7" xfId="30816"/>
    <cellStyle name="千位分隔 2 7 2 7 2" xfId="30817"/>
    <cellStyle name="千位分隔 2 7 2 8" xfId="30818"/>
    <cellStyle name="千位分隔 2 7 2 9" xfId="30819"/>
    <cellStyle name="千位分隔 2 7 3" xfId="30820"/>
    <cellStyle name="千位分隔 2 7 3 2" xfId="30821"/>
    <cellStyle name="千位分隔 2 7 3 2 2" xfId="30822"/>
    <cellStyle name="千位分隔 2 7 3 2 2 2" xfId="30823"/>
    <cellStyle name="千位分隔 2 7 3 2 3" xfId="30824"/>
    <cellStyle name="千位分隔 2 7 3 2 4" xfId="30825"/>
    <cellStyle name="千位分隔 2 7 3 2 5" xfId="30826"/>
    <cellStyle name="千位分隔 2 7 3 2 6" xfId="30827"/>
    <cellStyle name="千位分隔 2 7 3 2 7" xfId="30828"/>
    <cellStyle name="千位分隔 2 7 3 3" xfId="30829"/>
    <cellStyle name="千位分隔 2 7 3 3 2" xfId="30830"/>
    <cellStyle name="千位分隔 2 7 3 3 2 2" xfId="30831"/>
    <cellStyle name="千位分隔 2 7 3 3 3" xfId="30832"/>
    <cellStyle name="千位分隔 2 7 3 3 3 2" xfId="30833"/>
    <cellStyle name="千位分隔 2 7 3 3 4" xfId="30834"/>
    <cellStyle name="千位分隔 2 7 3 3 5" xfId="30835"/>
    <cellStyle name="千位分隔 2 7 3 3 6" xfId="30836"/>
    <cellStyle name="千位分隔 2 7 3 3 7" xfId="30837"/>
    <cellStyle name="千位分隔 2 7 3 4" xfId="30838"/>
    <cellStyle name="千位分隔 2 7 3 4 2" xfId="30839"/>
    <cellStyle name="千位分隔 2 7 3 5" xfId="30840"/>
    <cellStyle name="千位分隔 2 7 3 5 2" xfId="30841"/>
    <cellStyle name="千位分隔 2 7 3 6" xfId="30842"/>
    <cellStyle name="千位分隔 2 7 3 6 2" xfId="30843"/>
    <cellStyle name="千位分隔 2 7 3 7" xfId="30844"/>
    <cellStyle name="千位分隔 2 7 3 8" xfId="30845"/>
    <cellStyle name="千位分隔 2 7 3 9" xfId="30846"/>
    <cellStyle name="千位分隔 2 7 4" xfId="30847"/>
    <cellStyle name="千位分隔 2 7 4 2" xfId="30848"/>
    <cellStyle name="千位分隔 2 7 4 2 2" xfId="30849"/>
    <cellStyle name="千位分隔 2 7 4 2 2 2" xfId="30850"/>
    <cellStyle name="千位分隔 2 7 4 2 3" xfId="30851"/>
    <cellStyle name="千位分隔 2 7 4 2 4" xfId="30852"/>
    <cellStyle name="千位分隔 2 7 4 2 5" xfId="30853"/>
    <cellStyle name="千位分隔 2 7 4 2 6" xfId="30854"/>
    <cellStyle name="千位分隔 2 7 4 3" xfId="30855"/>
    <cellStyle name="千位分隔 2 7 4 3 2" xfId="30856"/>
    <cellStyle name="千位分隔 2 7 4 4" xfId="30857"/>
    <cellStyle name="千位分隔 2 7 4 5" xfId="30858"/>
    <cellStyle name="千位分隔 2 7 4 6" xfId="30859"/>
    <cellStyle name="千位分隔 2 7 4 7" xfId="30860"/>
    <cellStyle name="千位分隔 2 7 4 8" xfId="30861"/>
    <cellStyle name="千位分隔 2 7 5" xfId="30862"/>
    <cellStyle name="千位分隔 2 7 5 2" xfId="30863"/>
    <cellStyle name="千位分隔 2 7 5 2 2" xfId="30864"/>
    <cellStyle name="千位分隔 2 7 5 3" xfId="30865"/>
    <cellStyle name="千位分隔 2 7 5 4" xfId="30866"/>
    <cellStyle name="千位分隔 2 7 5 5" xfId="30867"/>
    <cellStyle name="千位分隔 2 7 5 6" xfId="30868"/>
    <cellStyle name="千位分隔 2 7 6" xfId="30869"/>
    <cellStyle name="千位分隔 2 7 6 2" xfId="30870"/>
    <cellStyle name="千位分隔 2 7 6 3" xfId="30871"/>
    <cellStyle name="千位分隔 2 7 6 4" xfId="30872"/>
    <cellStyle name="千位分隔 2 7 6 5" xfId="30873"/>
    <cellStyle name="千位分隔 2 7 6 6" xfId="30874"/>
    <cellStyle name="千位分隔 2 7 6 7" xfId="30875"/>
    <cellStyle name="千位分隔 2 7 7" xfId="30876"/>
    <cellStyle name="千位分隔 2 7 7 2" xfId="30877"/>
    <cellStyle name="千位分隔 2 7 8" xfId="30878"/>
    <cellStyle name="千位分隔 2 7 8 2" xfId="30879"/>
    <cellStyle name="千位分隔 2 7 9" xfId="30880"/>
    <cellStyle name="千位分隔 2 8" xfId="30881"/>
    <cellStyle name="千位分隔 2 8 10" xfId="30882"/>
    <cellStyle name="千位分隔 2 8 11" xfId="30883"/>
    <cellStyle name="千位分隔 2 8 2" xfId="30884"/>
    <cellStyle name="千位分隔 2 8 2 2" xfId="30885"/>
    <cellStyle name="千位分隔 2 8 2 2 2" xfId="30886"/>
    <cellStyle name="千位分隔 2 8 2 2 2 2" xfId="30887"/>
    <cellStyle name="千位分隔 2 8 2 2 3" xfId="30888"/>
    <cellStyle name="千位分隔 2 8 2 2 4" xfId="30889"/>
    <cellStyle name="千位分隔 2 8 2 2 5" xfId="30890"/>
    <cellStyle name="千位分隔 2 8 2 2 6" xfId="30891"/>
    <cellStyle name="千位分隔 2 8 2 3" xfId="30892"/>
    <cellStyle name="千位分隔 2 8 2 3 2" xfId="30893"/>
    <cellStyle name="千位分隔 2 8 2 3 2 2" xfId="30894"/>
    <cellStyle name="千位分隔 2 8 2 3 3" xfId="30895"/>
    <cellStyle name="千位分隔 2 8 2 3 4" xfId="30896"/>
    <cellStyle name="千位分隔 2 8 2 3 5" xfId="30897"/>
    <cellStyle name="千位分隔 2 8 2 3 6" xfId="30898"/>
    <cellStyle name="千位分隔 2 8 2 4" xfId="30899"/>
    <cellStyle name="千位分隔 2 8 2 4 2" xfId="30900"/>
    <cellStyle name="千位分隔 2 8 2 5" xfId="30901"/>
    <cellStyle name="千位分隔 2 8 2 6" xfId="30902"/>
    <cellStyle name="千位分隔 2 8 2 7" xfId="30903"/>
    <cellStyle name="千位分隔 2 8 2 8" xfId="30904"/>
    <cellStyle name="千位分隔 2 8 3" xfId="30905"/>
    <cellStyle name="千位分隔 2 8 3 2" xfId="30906"/>
    <cellStyle name="千位分隔 2 8 3 2 2" xfId="30907"/>
    <cellStyle name="千位分隔 2 8 3 3" xfId="30908"/>
    <cellStyle name="千位分隔 2 8 3 4" xfId="30909"/>
    <cellStyle name="千位分隔 2 8 3 5" xfId="30910"/>
    <cellStyle name="千位分隔 2 8 3 6" xfId="30911"/>
    <cellStyle name="千位分隔 2 8 4" xfId="30912"/>
    <cellStyle name="千位分隔 2 8 4 2" xfId="30913"/>
    <cellStyle name="千位分隔 2 8 4 2 2" xfId="30914"/>
    <cellStyle name="千位分隔 2 8 4 3" xfId="30915"/>
    <cellStyle name="千位分隔 2 8 4 4" xfId="30916"/>
    <cellStyle name="千位分隔 2 8 4 5" xfId="30917"/>
    <cellStyle name="千位分隔 2 8 4 6" xfId="30918"/>
    <cellStyle name="千位分隔 2 8 5" xfId="30919"/>
    <cellStyle name="千位分隔 2 8 5 2" xfId="30920"/>
    <cellStyle name="千位分隔 2 8 6" xfId="30921"/>
    <cellStyle name="千位分隔 2 8 7" xfId="30922"/>
    <cellStyle name="千位分隔 2 8 8" xfId="30923"/>
    <cellStyle name="千位分隔 2 8 9" xfId="30924"/>
    <cellStyle name="千位分隔 2 9" xfId="30925"/>
    <cellStyle name="千位分隔 2 9 2" xfId="30926"/>
    <cellStyle name="千位分隔 2 9 2 2" xfId="30927"/>
    <cellStyle name="千位分隔 2 9 2 2 2" xfId="30928"/>
    <cellStyle name="千位分隔 2 9 2 3" xfId="30929"/>
    <cellStyle name="千位分隔 2 9 2 4" xfId="30930"/>
    <cellStyle name="千位分隔 2 9 2 5" xfId="30931"/>
    <cellStyle name="千位分隔 2 9 2 6" xfId="30932"/>
    <cellStyle name="千位分隔 2 9 2 7" xfId="30933"/>
    <cellStyle name="千位分隔 2 9 3" xfId="30934"/>
    <cellStyle name="千位分隔 2 9 3 2" xfId="30935"/>
    <cellStyle name="千位分隔 2 9 3 3" xfId="30936"/>
    <cellStyle name="千位分隔 2 9 4" xfId="30937"/>
    <cellStyle name="千位分隔 2 9 4 2" xfId="30938"/>
    <cellStyle name="千位分隔 2 9 5" xfId="30939"/>
    <cellStyle name="千位分隔 2 9 6" xfId="30940"/>
    <cellStyle name="千位分隔 2 9 7" xfId="30941"/>
    <cellStyle name="千位分隔 2 9 8" xfId="30942"/>
    <cellStyle name="千位分隔 2 9 9" xfId="30943"/>
    <cellStyle name="千位分隔 20" xfId="30944"/>
    <cellStyle name="千位分隔 20 2" xfId="30945"/>
    <cellStyle name="千位分隔 20 3" xfId="30946"/>
    <cellStyle name="千位分隔 21" xfId="30947"/>
    <cellStyle name="千位分隔 21 2" xfId="30948"/>
    <cellStyle name="千位分隔 21 3" xfId="30949"/>
    <cellStyle name="千位分隔 22" xfId="30950"/>
    <cellStyle name="千位分隔 23" xfId="30951"/>
    <cellStyle name="千位分隔 24" xfId="30952"/>
    <cellStyle name="千位分隔 25" xfId="30953"/>
    <cellStyle name="千位分隔 3 13" xfId="30954"/>
    <cellStyle name="千位分隔 3 10" xfId="30955"/>
    <cellStyle name="千位分隔 3 11" xfId="30956"/>
    <cellStyle name="千位分隔 3 12" xfId="30957"/>
    <cellStyle name="千位分隔 3 2" xfId="30958"/>
    <cellStyle name="千位分隔 3 2 2" xfId="30959"/>
    <cellStyle name="千位分隔 3 2 2 2" xfId="30960"/>
    <cellStyle name="千位分隔 3 2 2 2 2" xfId="30961"/>
    <cellStyle name="千位分隔 3 2 2 2 2 2" xfId="30962"/>
    <cellStyle name="千位分隔 3 2 2 2 3" xfId="30963"/>
    <cellStyle name="千位分隔 3 2 2 2 4" xfId="30964"/>
    <cellStyle name="千位分隔 3 2 2 2 5" xfId="30965"/>
    <cellStyle name="千位分隔 3 2 2 2 6" xfId="30966"/>
    <cellStyle name="千位分隔 3 2 2 3" xfId="30967"/>
    <cellStyle name="千位分隔 3 2 2 3 2" xfId="30968"/>
    <cellStyle name="千位分隔 3 2 2 4" xfId="30969"/>
    <cellStyle name="千位分隔 3 2 2 5" xfId="30970"/>
    <cellStyle name="千位分隔 3 2 2 6" xfId="30971"/>
    <cellStyle name="千位分隔 3 2 2 7" xfId="30972"/>
    <cellStyle name="千位分隔 3 2 2 8" xfId="30973"/>
    <cellStyle name="千位分隔 3 2 3" xfId="30974"/>
    <cellStyle name="千位分隔 3 2 3 2" xfId="30975"/>
    <cellStyle name="千位分隔 3 2 3 2 2" xfId="30976"/>
    <cellStyle name="千位分隔 3 2 3 3" xfId="30977"/>
    <cellStyle name="千位分隔 3 2 3 4" xfId="30978"/>
    <cellStyle name="千位分隔 3 2 3 5" xfId="30979"/>
    <cellStyle name="千位分隔 3 2 3 6" xfId="30980"/>
    <cellStyle name="千位分隔 3 2 4" xfId="30981"/>
    <cellStyle name="千位分隔 3 2 4 2" xfId="30982"/>
    <cellStyle name="千位分隔 3 2 4 2 2" xfId="30983"/>
    <cellStyle name="千位分隔 3 2 4 3" xfId="30984"/>
    <cellStyle name="千位分隔 3 2 4 4" xfId="30985"/>
    <cellStyle name="千位分隔 3 2 4 5" xfId="30986"/>
    <cellStyle name="千位分隔 3 2 4 6" xfId="30987"/>
    <cellStyle name="千位分隔 3 2 4 7" xfId="30988"/>
    <cellStyle name="千位分隔 3 2 5" xfId="30989"/>
    <cellStyle name="千位分隔 3 2 6" xfId="30990"/>
    <cellStyle name="千位分隔 3 3" xfId="30991"/>
    <cellStyle name="千位分隔 3 3 2" xfId="30992"/>
    <cellStyle name="千位分隔 3 3 2 2" xfId="30993"/>
    <cellStyle name="千位分隔 3 3 2 2 2" xfId="30994"/>
    <cellStyle name="千位分隔 3 3 2 3" xfId="30995"/>
    <cellStyle name="千位分隔 3 3 2 4" xfId="30996"/>
    <cellStyle name="千位分隔 3 3 2 5" xfId="30997"/>
    <cellStyle name="千位分隔 3 3 2 6" xfId="30998"/>
    <cellStyle name="千位分隔 3 3 2 7" xfId="30999"/>
    <cellStyle name="千位分隔 3 3 3" xfId="31000"/>
    <cellStyle name="千位分隔 3 3 3 2" xfId="31001"/>
    <cellStyle name="千位分隔 3 3 4" xfId="31002"/>
    <cellStyle name="千位分隔 3 3 5" xfId="31003"/>
    <cellStyle name="千位分隔 3 3 6" xfId="31004"/>
    <cellStyle name="千位分隔 3 3 7" xfId="31005"/>
    <cellStyle name="千位分隔 3 4" xfId="31006"/>
    <cellStyle name="千位分隔 3 4 2" xfId="31007"/>
    <cellStyle name="千位分隔 3 4 2 2" xfId="31008"/>
    <cellStyle name="千位分隔 3 4 2 2 2" xfId="31009"/>
    <cellStyle name="千位分隔 3 4 2 3" xfId="31010"/>
    <cellStyle name="千位分隔 3 4 2 4" xfId="31011"/>
    <cellStyle name="千位分隔 3 4 2 5" xfId="31012"/>
    <cellStyle name="千位分隔 3 4 2 6" xfId="31013"/>
    <cellStyle name="千位分隔 3 4 2 7" xfId="31014"/>
    <cellStyle name="千位分隔 3 4 3" xfId="31015"/>
    <cellStyle name="千位分隔 3 4 3 2" xfId="31016"/>
    <cellStyle name="千位分隔 3 4 4" xfId="31017"/>
    <cellStyle name="千位分隔 3 4 5" xfId="31018"/>
    <cellStyle name="千位分隔 3 4 6" xfId="31019"/>
    <cellStyle name="千位分隔 3 4 7" xfId="31020"/>
    <cellStyle name="千位分隔 3 4 8" xfId="31021"/>
    <cellStyle name="千位分隔 3 5" xfId="31022"/>
    <cellStyle name="千位分隔 3 5 2" xfId="31023"/>
    <cellStyle name="千位分隔 3 5 2 2" xfId="31024"/>
    <cellStyle name="千位分隔 3 5 3" xfId="31025"/>
    <cellStyle name="千位分隔 3 5 3 2" xfId="31026"/>
    <cellStyle name="千位分隔 3 6" xfId="31027"/>
    <cellStyle name="千位分隔 3 6 2" xfId="31028"/>
    <cellStyle name="千位分隔 3 6 2 2" xfId="31029"/>
    <cellStyle name="千位分隔 3 6 3" xfId="31030"/>
    <cellStyle name="千位分隔 3 6 3 2" xfId="31031"/>
    <cellStyle name="千位分隔 3 7" xfId="31032"/>
    <cellStyle name="千位分隔 3 8" xfId="31033"/>
    <cellStyle name="千位分隔 3 9" xfId="31034"/>
    <cellStyle name="千位分隔 4" xfId="31035"/>
    <cellStyle name="千位分隔 4 10" xfId="31036"/>
    <cellStyle name="千位分隔 4 10 2" xfId="31037"/>
    <cellStyle name="千位分隔 4 10 2 2" xfId="31038"/>
    <cellStyle name="千位分隔 4 10 3" xfId="31039"/>
    <cellStyle name="千位分隔 4 10 3 2" xfId="31040"/>
    <cellStyle name="千位分隔 4 10 4" xfId="31041"/>
    <cellStyle name="千位分隔 4 10 4 2" xfId="31042"/>
    <cellStyle name="千位分隔 4 10 5" xfId="31043"/>
    <cellStyle name="千位分隔 4 10 6" xfId="31044"/>
    <cellStyle name="千位分隔 4 10 7" xfId="31045"/>
    <cellStyle name="千位分隔 4 11" xfId="31046"/>
    <cellStyle name="千位分隔 4 11 2" xfId="31047"/>
    <cellStyle name="千位分隔 4 11 3" xfId="31048"/>
    <cellStyle name="千位分隔 4 12" xfId="31049"/>
    <cellStyle name="千位分隔 4 13" xfId="31050"/>
    <cellStyle name="千位分隔 4 14" xfId="31051"/>
    <cellStyle name="千位分隔 4 15" xfId="31052"/>
    <cellStyle name="千位分隔 4 16" xfId="31053"/>
    <cellStyle name="千位分隔 4 2" xfId="31054"/>
    <cellStyle name="千位分隔 4 2 10" xfId="31055"/>
    <cellStyle name="千位分隔 4 2 11" xfId="31056"/>
    <cellStyle name="千位分隔 4 2 2" xfId="31057"/>
    <cellStyle name="千位分隔 4 2 2 2" xfId="31058"/>
    <cellStyle name="千位分隔 4 2 2 2 2" xfId="31059"/>
    <cellStyle name="千位分隔 4 2 2 2 2 2" xfId="31060"/>
    <cellStyle name="千位分隔 4 2 2 2 2 2 2" xfId="31061"/>
    <cellStyle name="千位分隔 4 2 2 2 2 3" xfId="31062"/>
    <cellStyle name="千位分隔 4 2 2 2 2 4" xfId="31063"/>
    <cellStyle name="千位分隔 4 2 2 2 2 5" xfId="31064"/>
    <cellStyle name="千位分隔 4 2 2 2 2 6" xfId="31065"/>
    <cellStyle name="千位分隔 4 2 2 2 3" xfId="31066"/>
    <cellStyle name="千位分隔 4 2 2 2 3 2" xfId="31067"/>
    <cellStyle name="千位分隔 4 2 2 2 3 2 2" xfId="31068"/>
    <cellStyle name="千位分隔 4 2 2 2 3 3" xfId="31069"/>
    <cellStyle name="千位分隔 4 2 2 2 3 4" xfId="31070"/>
    <cellStyle name="千位分隔 4 2 2 2 3 5" xfId="31071"/>
    <cellStyle name="千位分隔 4 2 2 2 3 6" xfId="31072"/>
    <cellStyle name="千位分隔 4 2 2 2 4" xfId="31073"/>
    <cellStyle name="千位分隔 4 2 2 2 4 2" xfId="31074"/>
    <cellStyle name="千位分隔 4 2 2 2 5" xfId="31075"/>
    <cellStyle name="千位分隔 4 2 2 2 6" xfId="31076"/>
    <cellStyle name="千位分隔 4 2 2 2 7" xfId="31077"/>
    <cellStyle name="千位分隔 4 2 2 2 8" xfId="31078"/>
    <cellStyle name="千位分隔 4 2 2 3" xfId="31079"/>
    <cellStyle name="千位分隔 4 2 2 3 2" xfId="31080"/>
    <cellStyle name="千位分隔 4 2 2 3 2 2" xfId="31081"/>
    <cellStyle name="千位分隔 4 2 2 3 3" xfId="31082"/>
    <cellStyle name="千位分隔 4 2 2 3 3 2" xfId="31083"/>
    <cellStyle name="千位分隔 4 2 2 3 4" xfId="31084"/>
    <cellStyle name="千位分隔 4 2 2 3 4 2" xfId="31085"/>
    <cellStyle name="千位分隔 4 2 2 3 5" xfId="31086"/>
    <cellStyle name="千位分隔 4 2 2 3 6" xfId="31087"/>
    <cellStyle name="千位分隔 4 2 2 3 7" xfId="31088"/>
    <cellStyle name="千位分隔 4 2 2 4" xfId="31089"/>
    <cellStyle name="千位分隔 4 2 2 4 2" xfId="31090"/>
    <cellStyle name="千位分隔 4 2 2 4 2 2" xfId="31091"/>
    <cellStyle name="千位分隔 4 2 2 4 3" xfId="31092"/>
    <cellStyle name="千位分隔 4 2 2 4 4" xfId="31093"/>
    <cellStyle name="千位分隔 4 2 2 4 5" xfId="31094"/>
    <cellStyle name="千位分隔 4 2 2 4 6" xfId="31095"/>
    <cellStyle name="千位分隔 4 2 2 4 7" xfId="31096"/>
    <cellStyle name="千位分隔 4 2 2 5" xfId="31097"/>
    <cellStyle name="千位分隔 4 2 2 5 2" xfId="31098"/>
    <cellStyle name="千位分隔 4 2 2 6" xfId="31099"/>
    <cellStyle name="千位分隔 4 2 2 6 2" xfId="31100"/>
    <cellStyle name="千位分隔 4 2 2 7" xfId="31101"/>
    <cellStyle name="千位分隔 4 2 2 7 2" xfId="31102"/>
    <cellStyle name="千位分隔 4 2 2 8" xfId="31103"/>
    <cellStyle name="千位分隔 4 2 2 9" xfId="31104"/>
    <cellStyle name="千位分隔 4 2 3" xfId="31105"/>
    <cellStyle name="千位分隔 4 2 3 2" xfId="31106"/>
    <cellStyle name="千位分隔 4 2 3 2 2" xfId="31107"/>
    <cellStyle name="千位分隔 4 2 3 2 2 2" xfId="31108"/>
    <cellStyle name="千位分隔 4 2 3 2 2 2 2" xfId="31109"/>
    <cellStyle name="千位分隔 4 2 3 2 2 3" xfId="31110"/>
    <cellStyle name="千位分隔 4 2 3 2 2 4" xfId="31111"/>
    <cellStyle name="千位分隔 4 2 3 2 2 5" xfId="31112"/>
    <cellStyle name="千位分隔 4 2 3 2 2 6" xfId="31113"/>
    <cellStyle name="千位分隔 4 2 3 2 2 7" xfId="31114"/>
    <cellStyle name="千位分隔 4 2 3 2 3" xfId="31115"/>
    <cellStyle name="千位分隔 4 2 3 2 3 2" xfId="31116"/>
    <cellStyle name="千位分隔 4 2 3 2 4" xfId="31117"/>
    <cellStyle name="千位分隔 4 2 3 2 4 2" xfId="31118"/>
    <cellStyle name="千位分隔 4 2 3 2 5" xfId="31119"/>
    <cellStyle name="千位分隔 4 2 3 2 5 2" xfId="31120"/>
    <cellStyle name="千位分隔 4 2 3 2 6" xfId="31121"/>
    <cellStyle name="千位分隔 4 2 3 2 7" xfId="31122"/>
    <cellStyle name="千位分隔 4 2 3 2 8" xfId="31123"/>
    <cellStyle name="千位分隔 4 2 3 3" xfId="31124"/>
    <cellStyle name="千位分隔 4 2 3 3 2" xfId="31125"/>
    <cellStyle name="千位分隔 4 2 3 3 2 2" xfId="31126"/>
    <cellStyle name="千位分隔 4 2 3 3 3" xfId="31127"/>
    <cellStyle name="千位分隔 4 2 3 3 4" xfId="31128"/>
    <cellStyle name="千位分隔 4 2 3 3 5" xfId="31129"/>
    <cellStyle name="千位分隔 4 2 3 3 6" xfId="31130"/>
    <cellStyle name="千位分隔 4 2 3 3 7" xfId="31131"/>
    <cellStyle name="千位分隔 4 2 3 4" xfId="31132"/>
    <cellStyle name="千位分隔 4 2 3 4 2" xfId="31133"/>
    <cellStyle name="千位分隔 4 2 3 5" xfId="31134"/>
    <cellStyle name="千位分隔 4 2 3 5 2" xfId="31135"/>
    <cellStyle name="千位分隔 4 2 3 6" xfId="31136"/>
    <cellStyle name="千位分隔 4 2 3 6 2" xfId="31137"/>
    <cellStyle name="千位分隔 4 2 3 7" xfId="31138"/>
    <cellStyle name="千位分隔 4 2 3 8" xfId="31139"/>
    <cellStyle name="千位分隔 4 2 3 9" xfId="31140"/>
    <cellStyle name="千位分隔 4 2 4" xfId="31141"/>
    <cellStyle name="千位分隔 4 2 4 2" xfId="31142"/>
    <cellStyle name="千位分隔 4 2 4 2 2" xfId="31143"/>
    <cellStyle name="千位分隔 4 2 4 2 2 2" xfId="31144"/>
    <cellStyle name="千位分隔 4 2 4 2 3" xfId="31145"/>
    <cellStyle name="千位分隔 4 2 4 2 4" xfId="31146"/>
    <cellStyle name="千位分隔 4 2 4 2 5" xfId="31147"/>
    <cellStyle name="千位分隔 4 2 4 2 6" xfId="31148"/>
    <cellStyle name="千位分隔 4 2 4 2 7" xfId="31149"/>
    <cellStyle name="千位分隔 4 2 4 3" xfId="31150"/>
    <cellStyle name="千位分隔 4 2 4 3 2" xfId="31151"/>
    <cellStyle name="千位分隔 4 2 4 3 2 2" xfId="31152"/>
    <cellStyle name="千位分隔 4 2 4 3 3" xfId="31153"/>
    <cellStyle name="千位分隔 4 2 4 3 4" xfId="31154"/>
    <cellStyle name="千位分隔 4 2 4 3 5" xfId="31155"/>
    <cellStyle name="千位分隔 4 2 4 3 6" xfId="31156"/>
    <cellStyle name="千位分隔 4 2 4 3 7" xfId="31157"/>
    <cellStyle name="千位分隔 4 2 4 4" xfId="31158"/>
    <cellStyle name="千位分隔 4 2 4 4 2" xfId="31159"/>
    <cellStyle name="千位分隔 4 2 4 5" xfId="31160"/>
    <cellStyle name="千位分隔 4 2 4 5 2" xfId="31161"/>
    <cellStyle name="千位分隔 4 2 4 6" xfId="31162"/>
    <cellStyle name="千位分隔 4 2 4 6 2" xfId="31163"/>
    <cellStyle name="千位分隔 4 2 4 7" xfId="31164"/>
    <cellStyle name="千位分隔 4 2 4 8" xfId="31165"/>
    <cellStyle name="千位分隔 4 2 4 9" xfId="31166"/>
    <cellStyle name="千位分隔 4 2 5" xfId="31167"/>
    <cellStyle name="千位分隔 4 2 5 2" xfId="31168"/>
    <cellStyle name="千位分隔 4 2 5 2 2" xfId="31169"/>
    <cellStyle name="千位分隔 4 2 5 3" xfId="31170"/>
    <cellStyle name="千位分隔 4 2 5 4" xfId="31171"/>
    <cellStyle name="千位分隔 4 2 5 5" xfId="31172"/>
    <cellStyle name="千位分隔 4 2 5 6" xfId="31173"/>
    <cellStyle name="千位分隔 4 2 5 7" xfId="31174"/>
    <cellStyle name="千位分隔 4 2 6" xfId="31175"/>
    <cellStyle name="千位分隔 4 2 6 2" xfId="31176"/>
    <cellStyle name="千位分隔 4 2 6 2 2" xfId="31177"/>
    <cellStyle name="千位分隔 4 2 6 3" xfId="31178"/>
    <cellStyle name="千位分隔 4 2 6 4" xfId="31179"/>
    <cellStyle name="千位分隔 4 2 6 5" xfId="31180"/>
    <cellStyle name="千位分隔 4 2 6 6" xfId="31181"/>
    <cellStyle name="千位分隔 4 2 6 7" xfId="31182"/>
    <cellStyle name="千位分隔 4 2 7" xfId="31183"/>
    <cellStyle name="千位分隔 4 2 7 2" xfId="31184"/>
    <cellStyle name="千位分隔 4 2 8" xfId="31185"/>
    <cellStyle name="千位分隔 4 2 8 2" xfId="31186"/>
    <cellStyle name="千位分隔 4 2 9" xfId="31187"/>
    <cellStyle name="千位分隔 4 2 9 2" xfId="31188"/>
    <cellStyle name="千位分隔 4 3" xfId="31189"/>
    <cellStyle name="千位分隔 4 3 10" xfId="31190"/>
    <cellStyle name="千位分隔 4 3 11" xfId="31191"/>
    <cellStyle name="千位分隔 4 3 2" xfId="31192"/>
    <cellStyle name="千位分隔 4 3 2 2" xfId="31193"/>
    <cellStyle name="千位分隔 4 3 2 2 2" xfId="31194"/>
    <cellStyle name="千位分隔 4 3 2 2 2 2" xfId="31195"/>
    <cellStyle name="千位分隔 4 3 2 2 2 2 2" xfId="31196"/>
    <cellStyle name="千位分隔 4 3 2 2 2 3" xfId="31197"/>
    <cellStyle name="千位分隔 4 3 2 2 2 4" xfId="31198"/>
    <cellStyle name="千位分隔 4 3 2 2 2 5" xfId="31199"/>
    <cellStyle name="千位分隔 4 3 2 2 2 6" xfId="31200"/>
    <cellStyle name="千位分隔 4 3 2 2 3" xfId="31201"/>
    <cellStyle name="千位分隔 4 3 2 2 3 2" xfId="31202"/>
    <cellStyle name="千位分隔 4 3 2 2 4" xfId="31203"/>
    <cellStyle name="千位分隔 4 3 2 2 5" xfId="31204"/>
    <cellStyle name="千位分隔 4 3 2 2 6" xfId="31205"/>
    <cellStyle name="千位分隔 4 3 2 2 7" xfId="31206"/>
    <cellStyle name="千位分隔 4 3 2 2 8" xfId="31207"/>
    <cellStyle name="千位分隔 4 3 2 3" xfId="31208"/>
    <cellStyle name="千位分隔 4 3 2 3 2" xfId="31209"/>
    <cellStyle name="千位分隔 4 3 2 3 2 2" xfId="31210"/>
    <cellStyle name="千位分隔 4 3 2 3 3" xfId="31211"/>
    <cellStyle name="千位分隔 4 3 2 3 3 2" xfId="31212"/>
    <cellStyle name="千位分隔 4 3 2 3 4" xfId="31213"/>
    <cellStyle name="千位分隔 4 3 2 3 4 2" xfId="31214"/>
    <cellStyle name="千位分隔 4 3 2 3 5" xfId="31215"/>
    <cellStyle name="千位分隔 4 3 2 3 6" xfId="31216"/>
    <cellStyle name="千位分隔 4 3 2 3 7" xfId="31217"/>
    <cellStyle name="千位分隔 4 3 2 4" xfId="31218"/>
    <cellStyle name="千位分隔 4 3 2 4 2" xfId="31219"/>
    <cellStyle name="千位分隔 4 3 2 5" xfId="31220"/>
    <cellStyle name="千位分隔 4 3 2 5 2" xfId="31221"/>
    <cellStyle name="千位分隔 4 3 2 6" xfId="31222"/>
    <cellStyle name="千位分隔 4 3 2 6 2" xfId="31223"/>
    <cellStyle name="千位分隔 4 3 2 7" xfId="31224"/>
    <cellStyle name="千位分隔 4 3 2 8" xfId="31225"/>
    <cellStyle name="千位分隔 4 3 2 9" xfId="31226"/>
    <cellStyle name="千位分隔 4 3 3" xfId="31227"/>
    <cellStyle name="千位分隔 4 3 3 2" xfId="31228"/>
    <cellStyle name="千位分隔 4 3 3 2 2" xfId="31229"/>
    <cellStyle name="千位分隔 4 3 3 2 2 2" xfId="31230"/>
    <cellStyle name="千位分隔 4 3 3 2 3" xfId="31231"/>
    <cellStyle name="千位分隔 4 3 3 2 4" xfId="31232"/>
    <cellStyle name="千位分隔 4 3 3 2 5" xfId="31233"/>
    <cellStyle name="千位分隔 4 3 3 2 6" xfId="31234"/>
    <cellStyle name="千位分隔 4 3 3 3" xfId="31235"/>
    <cellStyle name="千位分隔 4 3 3 3 2" xfId="31236"/>
    <cellStyle name="千位分隔 4 3 3 3 2 2" xfId="31237"/>
    <cellStyle name="千位分隔 4 3 3 3 3" xfId="31238"/>
    <cellStyle name="千位分隔 4 3 3 3 4" xfId="31239"/>
    <cellStyle name="千位分隔 4 3 3 3 5" xfId="31240"/>
    <cellStyle name="千位分隔 4 3 3 3 6" xfId="31241"/>
    <cellStyle name="千位分隔 4 3 3 4" xfId="31242"/>
    <cellStyle name="千位分隔 4 3 3 4 2" xfId="31243"/>
    <cellStyle name="千位分隔 4 3 3 5" xfId="31244"/>
    <cellStyle name="千位分隔 4 3 3 6" xfId="31245"/>
    <cellStyle name="千位分隔 4 3 3 7" xfId="31246"/>
    <cellStyle name="千位分隔 4 3 3 8" xfId="31247"/>
    <cellStyle name="千位分隔 4 3 4" xfId="31248"/>
    <cellStyle name="千位分隔 4 3 4 2" xfId="31249"/>
    <cellStyle name="千位分隔 4 3 4 2 2" xfId="31250"/>
    <cellStyle name="千位分隔 4 3 4 2 3" xfId="31251"/>
    <cellStyle name="千位分隔 4 3 4 2 4" xfId="31252"/>
    <cellStyle name="千位分隔 4 3 4 2 5" xfId="31253"/>
    <cellStyle name="千位分隔 4 3 4 2 6" xfId="31254"/>
    <cellStyle name="千位分隔 4 3 4 2 7" xfId="31255"/>
    <cellStyle name="千位分隔 4 3 4 3" xfId="31256"/>
    <cellStyle name="千位分隔 4 3 4 3 2" xfId="31257"/>
    <cellStyle name="千位分隔 4 3 4 4" xfId="31258"/>
    <cellStyle name="千位分隔 4 3 4 4 2" xfId="31259"/>
    <cellStyle name="千位分隔 4 3 4 5" xfId="31260"/>
    <cellStyle name="千位分隔 4 3 4 6" xfId="31261"/>
    <cellStyle name="千位分隔 4 3 4 7" xfId="31262"/>
    <cellStyle name="千位分隔 4 3 4 8" xfId="31263"/>
    <cellStyle name="千位分隔 4 3 5" xfId="31264"/>
    <cellStyle name="千位分隔 4 3 5 2" xfId="31265"/>
    <cellStyle name="千位分隔 4 3 5 2 2" xfId="31266"/>
    <cellStyle name="千位分隔 4 3 5 3" xfId="31267"/>
    <cellStyle name="千位分隔 4 3 5 3 2" xfId="31268"/>
    <cellStyle name="千位分隔 4 3 5 4" xfId="31269"/>
    <cellStyle name="千位分隔 4 3 5 4 2" xfId="31270"/>
    <cellStyle name="千位分隔 4 3 5 5" xfId="31271"/>
    <cellStyle name="千位分隔 4 3 5 6" xfId="31272"/>
    <cellStyle name="千位分隔 4 3 5 7" xfId="31273"/>
    <cellStyle name="千位分隔 4 3 6" xfId="31274"/>
    <cellStyle name="千位分隔 4 3 6 2" xfId="31275"/>
    <cellStyle name="千位分隔 4 3 7" xfId="31276"/>
    <cellStyle name="千位分隔 4 3 7 2" xfId="31277"/>
    <cellStyle name="千位分隔 4 3 8" xfId="31278"/>
    <cellStyle name="千位分隔 4 3 8 2" xfId="31279"/>
    <cellStyle name="千位分隔 4 3 9" xfId="31280"/>
    <cellStyle name="千位分隔 4 4" xfId="31281"/>
    <cellStyle name="千位分隔 4 4 10" xfId="31282"/>
    <cellStyle name="千位分隔 4 4 2" xfId="31283"/>
    <cellStyle name="千位分隔 4 4 2 2" xfId="31284"/>
    <cellStyle name="千位分隔 4 4 2 2 2" xfId="31285"/>
    <cellStyle name="千位分隔 4 4 2 2 3" xfId="31286"/>
    <cellStyle name="千位分隔 4 4 2 2 4" xfId="31287"/>
    <cellStyle name="千位分隔 4 4 2 2 5" xfId="31288"/>
    <cellStyle name="千位分隔 4 4 2 2 6" xfId="31289"/>
    <cellStyle name="千位分隔 4 4 2 3" xfId="31290"/>
    <cellStyle name="千位分隔 4 4 2 4" xfId="31291"/>
    <cellStyle name="千位分隔 4 4 2 5" xfId="31292"/>
    <cellStyle name="千位分隔 4 4 2 6" xfId="31293"/>
    <cellStyle name="千位分隔 4 4 2 7" xfId="31294"/>
    <cellStyle name="千位分隔 4 4 2 8" xfId="31295"/>
    <cellStyle name="千位分隔 4 4 3" xfId="31296"/>
    <cellStyle name="千位分隔 4 4 3 2" xfId="31297"/>
    <cellStyle name="千位分隔 4 4 3 2 2" xfId="31298"/>
    <cellStyle name="千位分隔 4 4 3 2 3" xfId="31299"/>
    <cellStyle name="千位分隔 4 4 3 2 4" xfId="31300"/>
    <cellStyle name="千位分隔 4 4 3 2 5" xfId="31301"/>
    <cellStyle name="千位分隔 4 4 3 2 6" xfId="31302"/>
    <cellStyle name="千位分隔 4 4 3 3" xfId="31303"/>
    <cellStyle name="千位分隔 4 4 3 4" xfId="31304"/>
    <cellStyle name="千位分隔 4 4 3 5" xfId="31305"/>
    <cellStyle name="千位分隔 4 4 3 6" xfId="31306"/>
    <cellStyle name="千位分隔 4 4 3 7" xfId="31307"/>
    <cellStyle name="千位分隔 4 4 3 8" xfId="31308"/>
    <cellStyle name="千位分隔 4 4 4" xfId="31309"/>
    <cellStyle name="千位分隔 4 4 4 2" xfId="31310"/>
    <cellStyle name="千位分隔 4 4 4 3" xfId="31311"/>
    <cellStyle name="千位分隔 4 4 4 4" xfId="31312"/>
    <cellStyle name="千位分隔 4 4 4 5" xfId="31313"/>
    <cellStyle name="千位分隔 4 4 4 6" xfId="31314"/>
    <cellStyle name="千位分隔 4 4 4 7" xfId="31315"/>
    <cellStyle name="千位分隔 4 4 5" xfId="31316"/>
    <cellStyle name="千位分隔 4 4 6" xfId="31317"/>
    <cellStyle name="千位分隔 4 4 7" xfId="31318"/>
    <cellStyle name="千位分隔 4 4 8" xfId="31319"/>
    <cellStyle name="千位分隔 4 4 9" xfId="31320"/>
    <cellStyle name="千位分隔 4 5" xfId="31321"/>
    <cellStyle name="千位分隔 4 5 10" xfId="31322"/>
    <cellStyle name="千位分隔 4 5 2" xfId="31323"/>
    <cellStyle name="千位分隔 4 5 2 2" xfId="31324"/>
    <cellStyle name="千位分隔 4 5 2 2 2" xfId="31325"/>
    <cellStyle name="千位分隔 4 5 2 2 2 2" xfId="31326"/>
    <cellStyle name="千位分隔 4 5 2 2 3" xfId="31327"/>
    <cellStyle name="千位分隔 4 5 2 2 4" xfId="31328"/>
    <cellStyle name="千位分隔 4 5 2 2 5" xfId="31329"/>
    <cellStyle name="千位分隔 4 5 2 2 6" xfId="31330"/>
    <cellStyle name="千位分隔 4 5 2 3" xfId="31331"/>
    <cellStyle name="千位分隔 4 5 2 3 2" xfId="31332"/>
    <cellStyle name="千位分隔 4 5 2 3 2 2" xfId="31333"/>
    <cellStyle name="千位分隔 4 5 2 3 3" xfId="31334"/>
    <cellStyle name="千位分隔 4 5 2 3 4" xfId="31335"/>
    <cellStyle name="千位分隔 4 5 2 3 5" xfId="31336"/>
    <cellStyle name="千位分隔 4 5 2 3 6" xfId="31337"/>
    <cellStyle name="千位分隔 4 5 2 4" xfId="31338"/>
    <cellStyle name="千位分隔 4 5 2 4 2" xfId="31339"/>
    <cellStyle name="千位分隔 4 5 2 5" xfId="31340"/>
    <cellStyle name="千位分隔 4 5 2 6" xfId="31341"/>
    <cellStyle name="千位分隔 4 5 2 7" xfId="31342"/>
    <cellStyle name="千位分隔 4 5 2 8" xfId="31343"/>
    <cellStyle name="千位分隔 4 5 2 9" xfId="31344"/>
    <cellStyle name="千位分隔 4 5 3" xfId="31345"/>
    <cellStyle name="千位分隔 4 5 3 2" xfId="31346"/>
    <cellStyle name="千位分隔 4 5 3 2 2" xfId="31347"/>
    <cellStyle name="千位分隔 4 5 3 3" xfId="31348"/>
    <cellStyle name="千位分隔 4 5 3 3 2" xfId="31349"/>
    <cellStyle name="千位分隔 4 5 3 4" xfId="31350"/>
    <cellStyle name="千位分隔 4 5 3 4 2" xfId="31351"/>
    <cellStyle name="千位分隔 4 5 3 5" xfId="31352"/>
    <cellStyle name="千位分隔 4 5 3 6" xfId="31353"/>
    <cellStyle name="千位分隔 4 5 3 7" xfId="31354"/>
    <cellStyle name="千位分隔 4 5 4" xfId="31355"/>
    <cellStyle name="千位分隔 4 5 4 2" xfId="31356"/>
    <cellStyle name="千位分隔 4 5 4 2 2" xfId="31357"/>
    <cellStyle name="千位分隔 4 5 4 3" xfId="31358"/>
    <cellStyle name="千位分隔 4 5 4 4" xfId="31359"/>
    <cellStyle name="千位分隔 4 5 4 5" xfId="31360"/>
    <cellStyle name="千位分隔 4 5 4 6" xfId="31361"/>
    <cellStyle name="千位分隔 4 5 4 7" xfId="31362"/>
    <cellStyle name="千位分隔 4 5 5" xfId="31363"/>
    <cellStyle name="千位分隔 4 5 5 2" xfId="31364"/>
    <cellStyle name="千位分隔 4 5 6" xfId="31365"/>
    <cellStyle name="千位分隔 4 5 6 2" xfId="31366"/>
    <cellStyle name="千位分隔 4 5 7" xfId="31367"/>
    <cellStyle name="千位分隔 4 5 7 2" xfId="31368"/>
    <cellStyle name="千位分隔 4 5 8" xfId="31369"/>
    <cellStyle name="千位分隔 4 5 9" xfId="31370"/>
    <cellStyle name="千位分隔 4 6" xfId="31371"/>
    <cellStyle name="千位分隔 4 6 2" xfId="31372"/>
    <cellStyle name="千位分隔 4 6 2 2" xfId="31373"/>
    <cellStyle name="千位分隔 4 6 2 2 2" xfId="31374"/>
    <cellStyle name="千位分隔 4 6 2 2 2 2" xfId="31375"/>
    <cellStyle name="千位分隔 4 6 2 2 3" xfId="31376"/>
    <cellStyle name="千位分隔 4 6 2 2 4" xfId="31377"/>
    <cellStyle name="千位分隔 4 6 2 2 5" xfId="31378"/>
    <cellStyle name="千位分隔 4 6 2 2 6" xfId="31379"/>
    <cellStyle name="千位分隔 4 6 2 3" xfId="31380"/>
    <cellStyle name="千位分隔 4 6 2 3 2" xfId="31381"/>
    <cellStyle name="千位分隔 4 6 2 4" xfId="31382"/>
    <cellStyle name="千位分隔 4 6 2 5" xfId="31383"/>
    <cellStyle name="千位分隔 4 6 2 6" xfId="31384"/>
    <cellStyle name="千位分隔 4 6 2 7" xfId="31385"/>
    <cellStyle name="千位分隔 4 6 3" xfId="31386"/>
    <cellStyle name="千位分隔 4 6 3 2" xfId="31387"/>
    <cellStyle name="千位分隔 4 6 3 2 2" xfId="31388"/>
    <cellStyle name="千位分隔 4 6 3 3" xfId="31389"/>
    <cellStyle name="千位分隔 4 6 3 4" xfId="31390"/>
    <cellStyle name="千位分隔 4 6 3 5" xfId="31391"/>
    <cellStyle name="千位分隔 4 6 3 6" xfId="31392"/>
    <cellStyle name="千位分隔 4 6 4" xfId="31393"/>
    <cellStyle name="千位分隔 4 6 4 2" xfId="31394"/>
    <cellStyle name="千位分隔 4 6 5" xfId="31395"/>
    <cellStyle name="千位分隔 4 6 6" xfId="31396"/>
    <cellStyle name="千位分隔 4 6 7" xfId="31397"/>
    <cellStyle name="千位分隔 4 6 8" xfId="31398"/>
    <cellStyle name="千位分隔 4 6 9" xfId="31399"/>
    <cellStyle name="千位分隔 4 7" xfId="31400"/>
    <cellStyle name="千位分隔 4 7 2" xfId="31401"/>
    <cellStyle name="千位分隔 4 7 2 2" xfId="31402"/>
    <cellStyle name="千位分隔 4 7 2 2 2" xfId="31403"/>
    <cellStyle name="千位分隔 4 7 2 3" xfId="31404"/>
    <cellStyle name="千位分隔 4 7 2 4" xfId="31405"/>
    <cellStyle name="千位分隔 4 7 2 5" xfId="31406"/>
    <cellStyle name="千位分隔 4 7 2 6" xfId="31407"/>
    <cellStyle name="千位分隔 4 7 3" xfId="31408"/>
    <cellStyle name="千位分隔 4 7 3 2" xfId="31409"/>
    <cellStyle name="千位分隔 4 7 3 2 2" xfId="31410"/>
    <cellStyle name="千位分隔 4 7 3 3" xfId="31411"/>
    <cellStyle name="千位分隔 4 7 3 4" xfId="31412"/>
    <cellStyle name="千位分隔 4 7 3 5" xfId="31413"/>
    <cellStyle name="千位分隔 4 7 3 6" xfId="31414"/>
    <cellStyle name="千位分隔 4 7 4" xfId="31415"/>
    <cellStyle name="千位分隔 4 7 4 2" xfId="31416"/>
    <cellStyle name="千位分隔 4 7 5" xfId="31417"/>
    <cellStyle name="千位分隔 4 7 6" xfId="31418"/>
    <cellStyle name="千位分隔 4 7 7" xfId="31419"/>
    <cellStyle name="千位分隔 4 7 8" xfId="31420"/>
    <cellStyle name="千位分隔 4 8" xfId="31421"/>
    <cellStyle name="千位分隔 4 8 2" xfId="31422"/>
    <cellStyle name="千位分隔 4 8 3" xfId="31423"/>
    <cellStyle name="千位分隔 4 8 4" xfId="31424"/>
    <cellStyle name="千位分隔 4 9" xfId="31425"/>
    <cellStyle name="千位分隔 4 9 2" xfId="31426"/>
    <cellStyle name="千位分隔 4 9 2 2" xfId="31427"/>
    <cellStyle name="千位分隔 4 9 3" xfId="31428"/>
    <cellStyle name="千位分隔 4 9 3 2" xfId="31429"/>
    <cellStyle name="千位分隔 4 9 4" xfId="31430"/>
    <cellStyle name="千位分隔 4 9 4 2" xfId="31431"/>
    <cellStyle name="千位分隔 4 9 5" xfId="31432"/>
    <cellStyle name="千位分隔 4 9 6" xfId="31433"/>
    <cellStyle name="千位分隔 4 9 7" xfId="31434"/>
    <cellStyle name="千位分隔 5" xfId="31435"/>
    <cellStyle name="千位分隔 5 10" xfId="31436"/>
    <cellStyle name="千位分隔 5 10 2" xfId="31437"/>
    <cellStyle name="千位分隔 5 11" xfId="31438"/>
    <cellStyle name="千位分隔 5 12" xfId="31439"/>
    <cellStyle name="千位分隔 5 13" xfId="31440"/>
    <cellStyle name="千位分隔 5 13 2" xfId="31441"/>
    <cellStyle name="千位分隔 5 14" xfId="31442"/>
    <cellStyle name="千位分隔 5 2" xfId="31443"/>
    <cellStyle name="千位分隔 5 2 10" xfId="31444"/>
    <cellStyle name="千位分隔 5 2 11" xfId="31445"/>
    <cellStyle name="千位分隔 5 2 11 2" xfId="31446"/>
    <cellStyle name="千位分隔 5 2 2" xfId="31447"/>
    <cellStyle name="千位分隔 5 2 2 2" xfId="31448"/>
    <cellStyle name="千位分隔 5 2 2 2 2" xfId="31449"/>
    <cellStyle name="千位分隔 5 2 2 2 2 2" xfId="31450"/>
    <cellStyle name="千位分隔 5 2 2 2 2 2 2" xfId="31451"/>
    <cellStyle name="千位分隔 5 2 2 2 2 3" xfId="31452"/>
    <cellStyle name="千位分隔 5 2 2 2 2 4" xfId="31453"/>
    <cellStyle name="千位分隔 5 2 2 2 2 5" xfId="31454"/>
    <cellStyle name="千位分隔 5 2 2 2 2 6" xfId="31455"/>
    <cellStyle name="千位分隔 5 2 2 2 3" xfId="31456"/>
    <cellStyle name="千位分隔 5 2 2 2 3 2" xfId="31457"/>
    <cellStyle name="千位分隔 5 2 2 2 3 2 2" xfId="31458"/>
    <cellStyle name="千位分隔 5 2 2 2 3 3" xfId="31459"/>
    <cellStyle name="千位分隔 5 2 2 2 3 4" xfId="31460"/>
    <cellStyle name="千位分隔 5 2 2 2 3 5" xfId="31461"/>
    <cellStyle name="千位分隔 5 2 2 2 3 6" xfId="31462"/>
    <cellStyle name="千位分隔 5 2 2 2 4" xfId="31463"/>
    <cellStyle name="千位分隔 5 2 2 2 4 2" xfId="31464"/>
    <cellStyle name="千位分隔 5 2 2 2 5" xfId="31465"/>
    <cellStyle name="千位分隔 5 2 2 2 6" xfId="31466"/>
    <cellStyle name="千位分隔 5 2 2 2 7" xfId="31467"/>
    <cellStyle name="千位分隔 5 2 2 2 8" xfId="31468"/>
    <cellStyle name="千位分隔 5 2 2 3" xfId="31469"/>
    <cellStyle name="千位分隔 5 2 2 3 2" xfId="31470"/>
    <cellStyle name="千位分隔 5 2 2 3 2 2" xfId="31471"/>
    <cellStyle name="千位分隔 5 2 2 3 3" xfId="31472"/>
    <cellStyle name="千位分隔 5 2 2 3 3 2" xfId="31473"/>
    <cellStyle name="千位分隔 5 2 2 3 4" xfId="31474"/>
    <cellStyle name="千位分隔 5 2 2 3 4 2" xfId="31475"/>
    <cellStyle name="千位分隔 5 2 2 3 5" xfId="31476"/>
    <cellStyle name="千位分隔 5 2 2 3 6" xfId="31477"/>
    <cellStyle name="千位分隔 5 2 2 3 7" xfId="31478"/>
    <cellStyle name="千位分隔 5 2 2 4" xfId="31479"/>
    <cellStyle name="千位分隔 5 2 2 4 2" xfId="31480"/>
    <cellStyle name="千位分隔 5 2 2 4 2 2" xfId="31481"/>
    <cellStyle name="千位分隔 5 2 2 4 3" xfId="31482"/>
    <cellStyle name="千位分隔 5 2 2 4 4" xfId="31483"/>
    <cellStyle name="千位分隔 5 2 2 4 5" xfId="31484"/>
    <cellStyle name="千位分隔 5 2 2 4 6" xfId="31485"/>
    <cellStyle name="千位分隔 5 2 2 4 7" xfId="31486"/>
    <cellStyle name="千位分隔 5 2 2 5" xfId="31487"/>
    <cellStyle name="千位分隔 5 2 2 5 2" xfId="31488"/>
    <cellStyle name="千位分隔 5 2 2 6" xfId="31489"/>
    <cellStyle name="千位分隔 5 2 2 6 2" xfId="31490"/>
    <cellStyle name="千位分隔 5 2 2 7" xfId="31491"/>
    <cellStyle name="千位分隔 5 2 2 7 2" xfId="31492"/>
    <cellStyle name="千位分隔 5 2 2 8" xfId="31493"/>
    <cellStyle name="千位分隔 5 2 2 9" xfId="31494"/>
    <cellStyle name="千位分隔 5 2 3" xfId="31495"/>
    <cellStyle name="千位分隔 5 2 3 2" xfId="31496"/>
    <cellStyle name="千位分隔 5 2 3 2 2" xfId="31497"/>
    <cellStyle name="千位分隔 5 2 3 2 2 2" xfId="31498"/>
    <cellStyle name="千位分隔 5 2 3 2 3" xfId="31499"/>
    <cellStyle name="千位分隔 5 2 3 2 4" xfId="31500"/>
    <cellStyle name="千位分隔 5 2 3 2 5" xfId="31501"/>
    <cellStyle name="千位分隔 5 2 3 2 6" xfId="31502"/>
    <cellStyle name="千位分隔 5 2 3 3" xfId="31503"/>
    <cellStyle name="千位分隔 5 2 3 3 2" xfId="31504"/>
    <cellStyle name="千位分隔 5 2 3 3 2 2" xfId="31505"/>
    <cellStyle name="千位分隔 5 2 3 3 3" xfId="31506"/>
    <cellStyle name="千位分隔 5 2 3 3 4" xfId="31507"/>
    <cellStyle name="千位分隔 5 2 3 3 5" xfId="31508"/>
    <cellStyle name="千位分隔 5 2 3 3 6" xfId="31509"/>
    <cellStyle name="千位分隔 5 2 3 4" xfId="31510"/>
    <cellStyle name="千位分隔 5 2 3 4 2" xfId="31511"/>
    <cellStyle name="千位分隔 5 2 3 5" xfId="31512"/>
    <cellStyle name="千位分隔 5 2 3 6" xfId="31513"/>
    <cellStyle name="千位分隔 5 2 3 7" xfId="31514"/>
    <cellStyle name="千位分隔 5 2 3 8" xfId="31515"/>
    <cellStyle name="千位分隔 5 2 3 9" xfId="31516"/>
    <cellStyle name="千位分隔 5 2 4" xfId="31517"/>
    <cellStyle name="千位分隔 5 2 4 2" xfId="31518"/>
    <cellStyle name="千位分隔 5 2 4 2 2" xfId="31519"/>
    <cellStyle name="千位分隔 5 2 4 3" xfId="31520"/>
    <cellStyle name="千位分隔 5 2 4 4" xfId="31521"/>
    <cellStyle name="千位分隔 5 2 4 5" xfId="31522"/>
    <cellStyle name="千位分隔 5 2 4 6" xfId="31523"/>
    <cellStyle name="千位分隔 5 2 5" xfId="31524"/>
    <cellStyle name="千位分隔 5 2 5 2" xfId="31525"/>
    <cellStyle name="千位分隔 5 2 5 2 2" xfId="31526"/>
    <cellStyle name="千位分隔 5 2 5 2 3" xfId="31527"/>
    <cellStyle name="千位分隔 5 2 5 2 4" xfId="31528"/>
    <cellStyle name="千位分隔 5 2 5 2 5" xfId="31529"/>
    <cellStyle name="千位分隔 5 2 5 2 6" xfId="31530"/>
    <cellStyle name="千位分隔 5 2 5 2 7" xfId="31531"/>
    <cellStyle name="千位分隔 5 2 5 3" xfId="31532"/>
    <cellStyle name="千位分隔 5 2 5 3 2" xfId="31533"/>
    <cellStyle name="千位分隔 5 2 5 4" xfId="31534"/>
    <cellStyle name="千位分隔 5 2 5 4 2" xfId="31535"/>
    <cellStyle name="千位分隔 5 2 5 5" xfId="31536"/>
    <cellStyle name="千位分隔 5 2 5 6" xfId="31537"/>
    <cellStyle name="千位分隔 5 2 5 7" xfId="31538"/>
    <cellStyle name="千位分隔 5 2 5 8" xfId="31539"/>
    <cellStyle name="千位分隔 5 2 6" xfId="31540"/>
    <cellStyle name="千位分隔 5 2 6 2" xfId="31541"/>
    <cellStyle name="千位分隔 5 2 6 3" xfId="31542"/>
    <cellStyle name="千位分隔 5 2 6 4" xfId="31543"/>
    <cellStyle name="千位分隔 5 2 6 5" xfId="31544"/>
    <cellStyle name="千位分隔 5 2 6 6" xfId="31545"/>
    <cellStyle name="千位分隔 5 2 6 7" xfId="31546"/>
    <cellStyle name="千位分隔 5 2 7" xfId="31547"/>
    <cellStyle name="千位分隔 5 2 7 2" xfId="31548"/>
    <cellStyle name="千位分隔 5 2 8" xfId="31549"/>
    <cellStyle name="千位分隔 5 2 8 2" xfId="31550"/>
    <cellStyle name="千位分隔 5 2 9" xfId="31551"/>
    <cellStyle name="千位分隔 5 3" xfId="31552"/>
    <cellStyle name="千位分隔 5 3 10" xfId="31553"/>
    <cellStyle name="千位分隔 5 3 11" xfId="31554"/>
    <cellStyle name="千位分隔 5 3 2" xfId="31555"/>
    <cellStyle name="千位分隔 5 3 2 2" xfId="31556"/>
    <cellStyle name="千位分隔 5 3 2 2 2" xfId="31557"/>
    <cellStyle name="千位分隔 5 3 2 2 2 2" xfId="31558"/>
    <cellStyle name="千位分隔 5 3 2 2 2 2 2" xfId="31559"/>
    <cellStyle name="千位分隔 5 3 2 2 2 3" xfId="31560"/>
    <cellStyle name="千位分隔 5 3 2 2 2 4" xfId="31561"/>
    <cellStyle name="千位分隔 5 3 2 2 2 5" xfId="31562"/>
    <cellStyle name="千位分隔 5 3 2 2 2 6" xfId="31563"/>
    <cellStyle name="千位分隔 5 3 2 2 3" xfId="31564"/>
    <cellStyle name="千位分隔 5 3 2 2 3 2" xfId="31565"/>
    <cellStyle name="千位分隔 5 3 2 2 4" xfId="31566"/>
    <cellStyle name="千位分隔 5 3 2 2 5" xfId="31567"/>
    <cellStyle name="千位分隔 5 3 2 2 6" xfId="31568"/>
    <cellStyle name="千位分隔 5 3 2 2 7" xfId="31569"/>
    <cellStyle name="千位分隔 5 3 2 2 8" xfId="31570"/>
    <cellStyle name="千位分隔 5 3 2 3" xfId="31571"/>
    <cellStyle name="千位分隔 5 3 2 3 2" xfId="31572"/>
    <cellStyle name="千位分隔 5 3 2 3 2 2" xfId="31573"/>
    <cellStyle name="千位分隔 5 3 2 3 3" xfId="31574"/>
    <cellStyle name="千位分隔 5 3 2 3 3 2" xfId="31575"/>
    <cellStyle name="千位分隔 5 3 2 3 4" xfId="31576"/>
    <cellStyle name="千位分隔 5 3 2 3 4 2" xfId="31577"/>
    <cellStyle name="千位分隔 5 3 2 3 5" xfId="31578"/>
    <cellStyle name="千位分隔 5 3 2 3 6" xfId="31579"/>
    <cellStyle name="千位分隔 5 3 2 3 7" xfId="31580"/>
    <cellStyle name="千位分隔 5 3 2 4" xfId="31581"/>
    <cellStyle name="千位分隔 5 3 2 4 2" xfId="31582"/>
    <cellStyle name="千位分隔 5 3 2 5" xfId="31583"/>
    <cellStyle name="千位分隔 5 3 2 5 2" xfId="31584"/>
    <cellStyle name="千位分隔 5 3 2 6" xfId="31585"/>
    <cellStyle name="千位分隔 5 3 2 6 2" xfId="31586"/>
    <cellStyle name="千位分隔 5 3 2 7" xfId="31587"/>
    <cellStyle name="千位分隔 5 3 2 8" xfId="31588"/>
    <cellStyle name="千位分隔 5 3 2 9" xfId="31589"/>
    <cellStyle name="千位分隔 5 3 3" xfId="31590"/>
    <cellStyle name="千位分隔 5 3 3 2" xfId="31591"/>
    <cellStyle name="千位分隔 5 3 3 2 2" xfId="31592"/>
    <cellStyle name="千位分隔 5 3 3 2 2 2" xfId="31593"/>
    <cellStyle name="千位分隔 5 3 3 2 3" xfId="31594"/>
    <cellStyle name="千位分隔 5 3 3 2 3 2" xfId="31595"/>
    <cellStyle name="千位分隔 5 3 3 2 4" xfId="31596"/>
    <cellStyle name="千位分隔 5 3 3 2 4 2" xfId="31597"/>
    <cellStyle name="千位分隔 5 3 3 2 5" xfId="31598"/>
    <cellStyle name="千位分隔 5 3 3 2 6" xfId="31599"/>
    <cellStyle name="千位分隔 5 3 3 2 7" xfId="31600"/>
    <cellStyle name="千位分隔 5 3 3 3" xfId="31601"/>
    <cellStyle name="千位分隔 5 3 3 3 2" xfId="31602"/>
    <cellStyle name="千位分隔 5 3 3 3 2 2" xfId="31603"/>
    <cellStyle name="千位分隔 5 3 3 3 3" xfId="31604"/>
    <cellStyle name="千位分隔 5 3 3 3 4" xfId="31605"/>
    <cellStyle name="千位分隔 5 3 3 3 5" xfId="31606"/>
    <cellStyle name="千位分隔 5 3 3 3 6" xfId="31607"/>
    <cellStyle name="千位分隔 5 3 3 3 7" xfId="31608"/>
    <cellStyle name="千位分隔 5 3 3 4" xfId="31609"/>
    <cellStyle name="千位分隔 5 3 3 4 2" xfId="31610"/>
    <cellStyle name="千位分隔 5 3 3 5" xfId="31611"/>
    <cellStyle name="千位分隔 5 3 3 5 2" xfId="31612"/>
    <cellStyle name="千位分隔 5 3 3 6" xfId="31613"/>
    <cellStyle name="千位分隔 5 3 3 6 2" xfId="31614"/>
    <cellStyle name="千位分隔 5 3 3 7" xfId="31615"/>
    <cellStyle name="千位分隔 5 3 3 8" xfId="31616"/>
    <cellStyle name="千位分隔 5 3 3 9" xfId="31617"/>
    <cellStyle name="千位分隔 5 3 4" xfId="31618"/>
    <cellStyle name="千位分隔 5 3 4 2" xfId="31619"/>
    <cellStyle name="千位分隔 5 3 4 2 2" xfId="31620"/>
    <cellStyle name="千位分隔 5 3 4 3" xfId="31621"/>
    <cellStyle name="千位分隔 5 3 4 3 2" xfId="31622"/>
    <cellStyle name="千位分隔 5 3 4 4" xfId="31623"/>
    <cellStyle name="千位分隔 5 3 4 4 2" xfId="31624"/>
    <cellStyle name="千位分隔 5 3 4 5" xfId="31625"/>
    <cellStyle name="千位分隔 5 3 4 6" xfId="31626"/>
    <cellStyle name="千位分隔 5 3 4 7" xfId="31627"/>
    <cellStyle name="千位分隔 5 3 5" xfId="31628"/>
    <cellStyle name="千位分隔 5 3 5 2" xfId="31629"/>
    <cellStyle name="千位分隔 5 3 5 2 2" xfId="31630"/>
    <cellStyle name="千位分隔 5 3 5 3" xfId="31631"/>
    <cellStyle name="千位分隔 5 3 5 4" xfId="31632"/>
    <cellStyle name="千位分隔 5 3 5 5" xfId="31633"/>
    <cellStyle name="千位分隔 5 3 5 6" xfId="31634"/>
    <cellStyle name="千位分隔 5 3 5 7" xfId="31635"/>
    <cellStyle name="千位分隔 5 3 6" xfId="31636"/>
    <cellStyle name="千位分隔 5 3 6 2" xfId="31637"/>
    <cellStyle name="千位分隔 5 3 7" xfId="31638"/>
    <cellStyle name="千位分隔 5 3 7 2" xfId="31639"/>
    <cellStyle name="千位分隔 5 3 8" xfId="31640"/>
    <cellStyle name="千位分隔 5 3 8 2" xfId="31641"/>
    <cellStyle name="千位分隔 5 3 9" xfId="31642"/>
    <cellStyle name="千位分隔 5 4" xfId="31643"/>
    <cellStyle name="千位分隔 5 4 10" xfId="31644"/>
    <cellStyle name="千位分隔 5 4 2" xfId="31645"/>
    <cellStyle name="千位分隔 5 4 2 2" xfId="31646"/>
    <cellStyle name="千位分隔 5 4 2 2 2" xfId="31647"/>
    <cellStyle name="千位分隔 5 4 2 2 2 2" xfId="31648"/>
    <cellStyle name="千位分隔 5 4 2 2 3" xfId="31649"/>
    <cellStyle name="千位分隔 5 4 2 2 4" xfId="31650"/>
    <cellStyle name="千位分隔 5 4 2 2 5" xfId="31651"/>
    <cellStyle name="千位分隔 5 4 2 2 6" xfId="31652"/>
    <cellStyle name="千位分隔 5 4 2 3" xfId="31653"/>
    <cellStyle name="千位分隔 5 4 2 3 2" xfId="31654"/>
    <cellStyle name="千位分隔 5 4 2 3 2 2" xfId="31655"/>
    <cellStyle name="千位分隔 5 4 2 3 3" xfId="31656"/>
    <cellStyle name="千位分隔 5 4 2 3 4" xfId="31657"/>
    <cellStyle name="千位分隔 5 4 2 3 5" xfId="31658"/>
    <cellStyle name="千位分隔 5 4 2 3 6" xfId="31659"/>
    <cellStyle name="千位分隔 5 4 2 4" xfId="31660"/>
    <cellStyle name="千位分隔 5 4 2 4 2" xfId="31661"/>
    <cellStyle name="千位分隔 5 4 2 5" xfId="31662"/>
    <cellStyle name="千位分隔 5 4 2 6" xfId="31663"/>
    <cellStyle name="千位分隔 5 4 2 7" xfId="31664"/>
    <cellStyle name="千位分隔 5 4 2 8" xfId="31665"/>
    <cellStyle name="千位分隔 5 4 2 9" xfId="31666"/>
    <cellStyle name="千位分隔 5 4 3" xfId="31667"/>
    <cellStyle name="千位分隔 5 4 3 2" xfId="31668"/>
    <cellStyle name="千位分隔 5 4 3 2 2" xfId="31669"/>
    <cellStyle name="千位分隔 5 4 3 3" xfId="31670"/>
    <cellStyle name="千位分隔 5 4 3 3 2" xfId="31671"/>
    <cellStyle name="千位分隔 5 4 3 4" xfId="31672"/>
    <cellStyle name="千位分隔 5 4 3 4 2" xfId="31673"/>
    <cellStyle name="千位分隔 5 4 3 5" xfId="31674"/>
    <cellStyle name="千位分隔 5 4 3 6" xfId="31675"/>
    <cellStyle name="千位分隔 5 4 3 7" xfId="31676"/>
    <cellStyle name="千位分隔 5 4 4" xfId="31677"/>
    <cellStyle name="千位分隔 5 4 4 2" xfId="31678"/>
    <cellStyle name="千位分隔 5 4 4 2 2" xfId="31679"/>
    <cellStyle name="千位分隔 5 4 4 3" xfId="31680"/>
    <cellStyle name="千位分隔 5 4 4 4" xfId="31681"/>
    <cellStyle name="千位分隔 5 4 4 5" xfId="31682"/>
    <cellStyle name="千位分隔 5 4 4 6" xfId="31683"/>
    <cellStyle name="千位分隔 5 4 4 7" xfId="31684"/>
    <cellStyle name="千位分隔 5 4 5" xfId="31685"/>
    <cellStyle name="千位分隔 5 4 5 2" xfId="31686"/>
    <cellStyle name="千位分隔 5 4 6" xfId="31687"/>
    <cellStyle name="千位分隔 5 4 6 2" xfId="31688"/>
    <cellStyle name="千位分隔 5 4 7" xfId="31689"/>
    <cellStyle name="千位分隔 5 4 7 2" xfId="31690"/>
    <cellStyle name="千位分隔 5 4 8" xfId="31691"/>
    <cellStyle name="千位分隔 5 4 9" xfId="31692"/>
    <cellStyle name="千位分隔 5 5" xfId="31693"/>
    <cellStyle name="千位分隔 5 5 2" xfId="31694"/>
    <cellStyle name="千位分隔 5 5 2 2" xfId="31695"/>
    <cellStyle name="千位分隔 5 5 2 2 2" xfId="31696"/>
    <cellStyle name="千位分隔 5 5 2 3" xfId="31697"/>
    <cellStyle name="千位分隔 5 5 2 4" xfId="31698"/>
    <cellStyle name="千位分隔 5 5 2 5" xfId="31699"/>
    <cellStyle name="千位分隔 5 5 2 6" xfId="31700"/>
    <cellStyle name="千位分隔 5 5 2 7" xfId="31701"/>
    <cellStyle name="千位分隔 5 5 3" xfId="31702"/>
    <cellStyle name="千位分隔 5 5 3 2" xfId="31703"/>
    <cellStyle name="千位分隔 5 5 3 3" xfId="31704"/>
    <cellStyle name="千位分隔 5 5 3 4" xfId="31705"/>
    <cellStyle name="千位分隔 5 5 4" xfId="31706"/>
    <cellStyle name="千位分隔 5 5 4 2" xfId="31707"/>
    <cellStyle name="千位分隔 5 5 5" xfId="31708"/>
    <cellStyle name="千位分隔 5 5 6" xfId="31709"/>
    <cellStyle name="千位分隔 5 5 7" xfId="31710"/>
    <cellStyle name="千位分隔 5 5 8" xfId="31711"/>
    <cellStyle name="千位分隔 5 5 9" xfId="31712"/>
    <cellStyle name="千位分隔 5 6" xfId="31713"/>
    <cellStyle name="千位分隔 5 6 2" xfId="31714"/>
    <cellStyle name="千位分隔 5 6 2 2" xfId="31715"/>
    <cellStyle name="千位分隔 5 6 2 2 2" xfId="31716"/>
    <cellStyle name="千位分隔 5 6 2 3" xfId="31717"/>
    <cellStyle name="千位分隔 5 6 2 4" xfId="31718"/>
    <cellStyle name="千位分隔 5 6 2 5" xfId="31719"/>
    <cellStyle name="千位分隔 5 6 2 6" xfId="31720"/>
    <cellStyle name="千位分隔 5 6 3" xfId="31721"/>
    <cellStyle name="千位分隔 5 6 3 2" xfId="31722"/>
    <cellStyle name="千位分隔 5 6 4" xfId="31723"/>
    <cellStyle name="千位分隔 5 6 5" xfId="31724"/>
    <cellStyle name="千位分隔 5 6 6" xfId="31725"/>
    <cellStyle name="千位分隔 5 6 7" xfId="31726"/>
    <cellStyle name="千位分隔 5 7" xfId="31727"/>
    <cellStyle name="千位分隔 5 7 2" xfId="31728"/>
    <cellStyle name="千位分隔 5 7 2 2" xfId="31729"/>
    <cellStyle name="千位分隔 5 7 3" xfId="31730"/>
    <cellStyle name="千位分隔 5 7 4" xfId="31731"/>
    <cellStyle name="千位分隔 5 7 5" xfId="31732"/>
    <cellStyle name="千位分隔 5 7 6" xfId="31733"/>
    <cellStyle name="千位分隔 5 7 7" xfId="31734"/>
    <cellStyle name="千位分隔 5 8" xfId="31735"/>
    <cellStyle name="千位分隔 5 8 2" xfId="31736"/>
    <cellStyle name="千位分隔 5 8 3" xfId="31737"/>
    <cellStyle name="千位分隔 5 8 4" xfId="31738"/>
    <cellStyle name="千位分隔 5 8 5" xfId="31739"/>
    <cellStyle name="千位分隔 5 8 6" xfId="31740"/>
    <cellStyle name="千位分隔 5 8 7" xfId="31741"/>
    <cellStyle name="千位分隔 5 9" xfId="31742"/>
    <cellStyle name="千位分隔 5 9 2" xfId="31743"/>
    <cellStyle name="千位分隔 6" xfId="31744"/>
    <cellStyle name="千位分隔 6 10" xfId="31745"/>
    <cellStyle name="千位分隔 6 10 2" xfId="31746"/>
    <cellStyle name="千位分隔 6 11" xfId="31747"/>
    <cellStyle name="千位分隔 6 12" xfId="31748"/>
    <cellStyle name="千位分隔 6 13" xfId="31749"/>
    <cellStyle name="千位分隔 6 14" xfId="31750"/>
    <cellStyle name="千位分隔 6 2" xfId="31751"/>
    <cellStyle name="千位分隔 6 2 10" xfId="31752"/>
    <cellStyle name="千位分隔 6 2 11" xfId="31753"/>
    <cellStyle name="千位分隔 6 2 12" xfId="31754"/>
    <cellStyle name="千位分隔 6 2 2" xfId="31755"/>
    <cellStyle name="千位分隔 6 2 2 10" xfId="31756"/>
    <cellStyle name="千位分隔 6 2 2 2" xfId="31757"/>
    <cellStyle name="千位分隔 6 2 2 2 2" xfId="31758"/>
    <cellStyle name="千位分隔 6 2 2 2 2 2" xfId="31759"/>
    <cellStyle name="千位分隔 6 2 2 2 2 2 2" xfId="31760"/>
    <cellStyle name="千位分隔 6 2 2 2 2 3" xfId="31761"/>
    <cellStyle name="千位分隔 6 2 2 2 2 4" xfId="31762"/>
    <cellStyle name="千位分隔 6 2 2 2 2 5" xfId="31763"/>
    <cellStyle name="千位分隔 6 2 2 2 2 6" xfId="31764"/>
    <cellStyle name="千位分隔 6 2 2 2 3" xfId="31765"/>
    <cellStyle name="千位分隔 6 2 2 2 3 2" xfId="31766"/>
    <cellStyle name="千位分隔 6 2 2 2 3 2 2" xfId="31767"/>
    <cellStyle name="千位分隔 6 2 2 2 3 3" xfId="31768"/>
    <cellStyle name="千位分隔 6 2 2 2 3 4" xfId="31769"/>
    <cellStyle name="千位分隔 6 2 2 2 3 5" xfId="31770"/>
    <cellStyle name="千位分隔 6 2 2 2 3 6" xfId="31771"/>
    <cellStyle name="千位分隔 6 2 2 2 4" xfId="31772"/>
    <cellStyle name="千位分隔 6 2 2 2 4 2" xfId="31773"/>
    <cellStyle name="千位分隔 6 2 2 2 5" xfId="31774"/>
    <cellStyle name="千位分隔 6 2 2 2 6" xfId="31775"/>
    <cellStyle name="千位分隔 6 2 2 2 7" xfId="31776"/>
    <cellStyle name="千位分隔 6 2 2 2 8" xfId="31777"/>
    <cellStyle name="千位分隔 6 2 2 2 9" xfId="31778"/>
    <cellStyle name="千位分隔 6 2 2 3" xfId="31779"/>
    <cellStyle name="千位分隔 6 2 2 3 2" xfId="31780"/>
    <cellStyle name="千位分隔 6 2 2 3 2 2" xfId="31781"/>
    <cellStyle name="千位分隔 6 2 2 3 3" xfId="31782"/>
    <cellStyle name="千位分隔 6 2 2 3 3 2" xfId="31783"/>
    <cellStyle name="千位分隔 6 2 2 3 4" xfId="31784"/>
    <cellStyle name="千位分隔 6 2 2 3 4 2" xfId="31785"/>
    <cellStyle name="千位分隔 6 2 2 3 5" xfId="31786"/>
    <cellStyle name="千位分隔 6 2 2 3 6" xfId="31787"/>
    <cellStyle name="千位分隔 6 2 2 3 7" xfId="31788"/>
    <cellStyle name="千位分隔 6 2 2 4" xfId="31789"/>
    <cellStyle name="千位分隔 6 2 2 4 2" xfId="31790"/>
    <cellStyle name="千位分隔 6 2 2 4 2 2" xfId="31791"/>
    <cellStyle name="千位分隔 6 2 2 4 3" xfId="31792"/>
    <cellStyle name="千位分隔 6 2 2 4 4" xfId="31793"/>
    <cellStyle name="千位分隔 6 2 2 4 5" xfId="31794"/>
    <cellStyle name="千位分隔 6 2 2 4 6" xfId="31795"/>
    <cellStyle name="千位分隔 6 2 2 4 7" xfId="31796"/>
    <cellStyle name="千位分隔 6 2 2 5" xfId="31797"/>
    <cellStyle name="千位分隔 6 2 2 5 2" xfId="31798"/>
    <cellStyle name="千位分隔 6 2 2 6" xfId="31799"/>
    <cellStyle name="千位分隔 6 2 2 6 2" xfId="31800"/>
    <cellStyle name="千位分隔 6 2 2 7" xfId="31801"/>
    <cellStyle name="千位分隔 6 2 2 7 2" xfId="31802"/>
    <cellStyle name="千位分隔 6 2 2 8" xfId="31803"/>
    <cellStyle name="千位分隔 6 2 2 9" xfId="31804"/>
    <cellStyle name="千位分隔 6 2 3" xfId="31805"/>
    <cellStyle name="千位分隔 6 2 3 2" xfId="31806"/>
    <cellStyle name="千位分隔 6 2 3 2 2" xfId="31807"/>
    <cellStyle name="千位分隔 6 2 3 2 2 2" xfId="31808"/>
    <cellStyle name="千位分隔 6 2 3 2 2 2 2" xfId="31809"/>
    <cellStyle name="千位分隔 6 2 3 2 2 3" xfId="31810"/>
    <cellStyle name="千位分隔 6 2 3 2 2 4" xfId="31811"/>
    <cellStyle name="千位分隔 6 2 3 2 2 5" xfId="31812"/>
    <cellStyle name="千位分隔 6 2 3 2 2 6" xfId="31813"/>
    <cellStyle name="千位分隔 6 2 3 2 2 7" xfId="31814"/>
    <cellStyle name="千位分隔 6 2 3 2 3" xfId="31815"/>
    <cellStyle name="千位分隔 6 2 3 2 3 2" xfId="31816"/>
    <cellStyle name="千位分隔 6 2 3 2 4" xfId="31817"/>
    <cellStyle name="千位分隔 6 2 3 2 4 2" xfId="31818"/>
    <cellStyle name="千位分隔 6 2 3 2 5" xfId="31819"/>
    <cellStyle name="千位分隔 6 2 3 2 5 2" xfId="31820"/>
    <cellStyle name="千位分隔 6 2 3 2 6" xfId="31821"/>
    <cellStyle name="千位分隔 6 2 3 2 7" xfId="31822"/>
    <cellStyle name="千位分隔 6 2 3 2 8" xfId="31823"/>
    <cellStyle name="千位分隔 6 2 3 3" xfId="31824"/>
    <cellStyle name="千位分隔 6 2 3 3 2" xfId="31825"/>
    <cellStyle name="千位分隔 6 2 3 3 2 2" xfId="31826"/>
    <cellStyle name="千位分隔 6 2 3 3 3" xfId="31827"/>
    <cellStyle name="千位分隔 6 2 3 3 4" xfId="31828"/>
    <cellStyle name="千位分隔 6 2 3 3 5" xfId="31829"/>
    <cellStyle name="千位分隔 6 2 3 3 6" xfId="31830"/>
    <cellStyle name="千位分隔 6 2 3 3 7" xfId="31831"/>
    <cellStyle name="千位分隔 6 2 3 4" xfId="31832"/>
    <cellStyle name="千位分隔 6 2 3 4 2" xfId="31833"/>
    <cellStyle name="千位分隔 6 2 3 5" xfId="31834"/>
    <cellStyle name="千位分隔 6 2 3 5 2" xfId="31835"/>
    <cellStyle name="千位分隔 6 2 3 6" xfId="31836"/>
    <cellStyle name="千位分隔 6 2 3 6 2" xfId="31837"/>
    <cellStyle name="千位分隔 6 2 3 7" xfId="31838"/>
    <cellStyle name="千位分隔 6 2 3 8" xfId="31839"/>
    <cellStyle name="千位分隔 6 2 3 9" xfId="31840"/>
    <cellStyle name="千位分隔 6 2 4" xfId="31841"/>
    <cellStyle name="千位分隔 6 2 4 2" xfId="31842"/>
    <cellStyle name="千位分隔 6 2 4 2 2" xfId="31843"/>
    <cellStyle name="千位分隔 6 2 4 2 2 2" xfId="31844"/>
    <cellStyle name="千位分隔 6 2 4 2 3" xfId="31845"/>
    <cellStyle name="千位分隔 6 2 4 2 4" xfId="31846"/>
    <cellStyle name="千位分隔 6 2 4 2 5" xfId="31847"/>
    <cellStyle name="千位分隔 6 2 4 2 6" xfId="31848"/>
    <cellStyle name="千位分隔 6 2 4 2 7" xfId="31849"/>
    <cellStyle name="千位分隔 6 2 4 3" xfId="31850"/>
    <cellStyle name="千位分隔 6 2 4 3 2" xfId="31851"/>
    <cellStyle name="千位分隔 6 2 4 3 2 2" xfId="31852"/>
    <cellStyle name="千位分隔 6 2 4 3 3" xfId="31853"/>
    <cellStyle name="千位分隔 6 2 4 3 4" xfId="31854"/>
    <cellStyle name="千位分隔 6 2 4 3 5" xfId="31855"/>
    <cellStyle name="千位分隔 6 2 4 3 6" xfId="31856"/>
    <cellStyle name="千位分隔 6 2 4 3 7" xfId="31857"/>
    <cellStyle name="千位分隔 6 2 4 4" xfId="31858"/>
    <cellStyle name="千位分隔 6 2 4 4 2" xfId="31859"/>
    <cellStyle name="千位分隔 6 2 4 5" xfId="31860"/>
    <cellStyle name="千位分隔 6 2 4 5 2" xfId="31861"/>
    <cellStyle name="千位分隔 6 2 4 6" xfId="31862"/>
    <cellStyle name="千位分隔 6 2 4 6 2" xfId="31863"/>
    <cellStyle name="千位分隔 6 2 4 7" xfId="31864"/>
    <cellStyle name="千位分隔 6 2 4 8" xfId="31865"/>
    <cellStyle name="千位分隔 6 2 4 9" xfId="31866"/>
    <cellStyle name="千位分隔 6 2 5" xfId="31867"/>
    <cellStyle name="千位分隔 6 2 5 2" xfId="31868"/>
    <cellStyle name="千位分隔 6 2 5 2 2" xfId="31869"/>
    <cellStyle name="千位分隔 6 2 5 3" xfId="31870"/>
    <cellStyle name="千位分隔 6 2 5 4" xfId="31871"/>
    <cellStyle name="千位分隔 6 2 5 5" xfId="31872"/>
    <cellStyle name="千位分隔 6 2 5 6" xfId="31873"/>
    <cellStyle name="千位分隔 6 2 5 7" xfId="31874"/>
    <cellStyle name="千位分隔 6 2 6" xfId="31875"/>
    <cellStyle name="千位分隔 6 2 6 2" xfId="31876"/>
    <cellStyle name="千位分隔 6 2 6 2 2" xfId="31877"/>
    <cellStyle name="千位分隔 6 2 6 3" xfId="31878"/>
    <cellStyle name="千位分隔 6 2 6 4" xfId="31879"/>
    <cellStyle name="千位分隔 6 2 6 5" xfId="31880"/>
    <cellStyle name="千位分隔 6 2 6 6" xfId="31881"/>
    <cellStyle name="千位分隔 6 2 6 7" xfId="31882"/>
    <cellStyle name="千位分隔 6 2 7" xfId="31883"/>
    <cellStyle name="千位分隔 6 2 7 2" xfId="31884"/>
    <cellStyle name="千位分隔 6 2 8" xfId="31885"/>
    <cellStyle name="千位分隔 6 2 8 2" xfId="31886"/>
    <cellStyle name="千位分隔 6 2 9" xfId="31887"/>
    <cellStyle name="千位分隔 6 2 9 2" xfId="31888"/>
    <cellStyle name="千位分隔 6 3" xfId="31889"/>
    <cellStyle name="千位分隔 6 3 10" xfId="31890"/>
    <cellStyle name="千位分隔 6 3 11" xfId="31891"/>
    <cellStyle name="千位分隔 6 3 2" xfId="31892"/>
    <cellStyle name="千位分隔 6 3 2 2" xfId="31893"/>
    <cellStyle name="千位分隔 6 3 2 2 2" xfId="31894"/>
    <cellStyle name="千位分隔 6 3 2 2 2 2" xfId="31895"/>
    <cellStyle name="千位分隔 6 3 2 2 2 2 2" xfId="31896"/>
    <cellStyle name="千位分隔 6 3 2 2 2 3" xfId="31897"/>
    <cellStyle name="千位分隔 6 3 2 2 2 4" xfId="31898"/>
    <cellStyle name="千位分隔 6 3 2 2 2 5" xfId="31899"/>
    <cellStyle name="千位分隔 6 3 2 2 2 6" xfId="31900"/>
    <cellStyle name="千位分隔 6 3 2 2 2 7" xfId="31901"/>
    <cellStyle name="千位分隔 6 3 2 2 3" xfId="31902"/>
    <cellStyle name="千位分隔 6 3 2 2 3 2" xfId="31903"/>
    <cellStyle name="千位分隔 6 3 2 2 4" xfId="31904"/>
    <cellStyle name="千位分隔 6 3 2 2 4 2" xfId="31905"/>
    <cellStyle name="千位分隔 6 3 2 2 5" xfId="31906"/>
    <cellStyle name="千位分隔 6 3 2 2 5 2" xfId="31907"/>
    <cellStyle name="千位分隔 6 3 2 2 6" xfId="31908"/>
    <cellStyle name="千位分隔 6 3 2 2 7" xfId="31909"/>
    <cellStyle name="千位分隔 6 3 2 2 8" xfId="31910"/>
    <cellStyle name="千位分隔 6 3 2 3" xfId="31911"/>
    <cellStyle name="千位分隔 6 3 2 3 2" xfId="31912"/>
    <cellStyle name="千位分隔 6 3 2 3 2 2" xfId="31913"/>
    <cellStyle name="千位分隔 6 3 2 3 3" xfId="31914"/>
    <cellStyle name="千位分隔 6 3 2 3 4" xfId="31915"/>
    <cellStyle name="千位分隔 6 3 2 3 5" xfId="31916"/>
    <cellStyle name="千位分隔 6 3 2 3 6" xfId="31917"/>
    <cellStyle name="千位分隔 6 3 2 3 7" xfId="31918"/>
    <cellStyle name="千位分隔 6 3 2 4" xfId="31919"/>
    <cellStyle name="千位分隔 6 3 2 4 2" xfId="31920"/>
    <cellStyle name="千位分隔 6 3 2 5" xfId="31921"/>
    <cellStyle name="千位分隔 6 3 2 5 2" xfId="31922"/>
    <cellStyle name="千位分隔 6 3 2 6" xfId="31923"/>
    <cellStyle name="千位分隔 6 3 2 6 2" xfId="31924"/>
    <cellStyle name="千位分隔 6 3 2 7" xfId="31925"/>
    <cellStyle name="千位分隔 6 3 2 8" xfId="31926"/>
    <cellStyle name="千位分隔 6 3 2 9" xfId="31927"/>
    <cellStyle name="千位分隔 6 3 3" xfId="31928"/>
    <cellStyle name="千位分隔 6 3 3 2" xfId="31929"/>
    <cellStyle name="千位分隔 6 3 3 2 2" xfId="31930"/>
    <cellStyle name="千位分隔 6 3 3 2 2 2" xfId="31931"/>
    <cellStyle name="千位分隔 6 3 3 2 3" xfId="31932"/>
    <cellStyle name="千位分隔 6 3 3 2 3 2" xfId="31933"/>
    <cellStyle name="千位分隔 6 3 3 2 4" xfId="31934"/>
    <cellStyle name="千位分隔 6 3 3 2 4 2" xfId="31935"/>
    <cellStyle name="千位分隔 6 3 3 2 5" xfId="31936"/>
    <cellStyle name="千位分隔 6 3 3 2 6" xfId="31937"/>
    <cellStyle name="千位分隔 6 3 3 2 7" xfId="31938"/>
    <cellStyle name="千位分隔 6 3 3 3" xfId="31939"/>
    <cellStyle name="千位分隔 6 3 3 3 2" xfId="31940"/>
    <cellStyle name="千位分隔 6 3 3 3 2 2" xfId="31941"/>
    <cellStyle name="千位分隔 6 3 3 3 3" xfId="31942"/>
    <cellStyle name="千位分隔 6 3 3 3 4" xfId="31943"/>
    <cellStyle name="千位分隔 6 3 3 3 5" xfId="31944"/>
    <cellStyle name="千位分隔 6 3 3 3 6" xfId="31945"/>
    <cellStyle name="千位分隔 6 3 3 3 7" xfId="31946"/>
    <cellStyle name="千位分隔 6 3 3 4" xfId="31947"/>
    <cellStyle name="千位分隔 6 3 3 4 2" xfId="31948"/>
    <cellStyle name="千位分隔 6 3 3 5" xfId="31949"/>
    <cellStyle name="千位分隔 6 3 3 5 2" xfId="31950"/>
    <cellStyle name="千位分隔 6 3 3 6" xfId="31951"/>
    <cellStyle name="千位分隔 6 3 3 6 2" xfId="31952"/>
    <cellStyle name="千位分隔 6 3 3 7" xfId="31953"/>
    <cellStyle name="千位分隔 6 3 3 8" xfId="31954"/>
    <cellStyle name="千位分隔 6 3 3 9" xfId="31955"/>
    <cellStyle name="千位分隔 6 3 4" xfId="31956"/>
    <cellStyle name="千位分隔 6 3 4 2" xfId="31957"/>
    <cellStyle name="千位分隔 6 3 4 2 2" xfId="31958"/>
    <cellStyle name="千位分隔 6 3 4 3" xfId="31959"/>
    <cellStyle name="千位分隔 6 3 4 3 2" xfId="31960"/>
    <cellStyle name="千位分隔 6 3 4 4" xfId="31961"/>
    <cellStyle name="千位分隔 6 3 4 4 2" xfId="31962"/>
    <cellStyle name="千位分隔 6 3 4 5" xfId="31963"/>
    <cellStyle name="千位分隔 6 3 4 6" xfId="31964"/>
    <cellStyle name="千位分隔 6 3 4 7" xfId="31965"/>
    <cellStyle name="千位分隔 6 3 5" xfId="31966"/>
    <cellStyle name="千位分隔 6 3 5 2" xfId="31967"/>
    <cellStyle name="千位分隔 6 3 5 2 2" xfId="31968"/>
    <cellStyle name="千位分隔 6 3 5 3" xfId="31969"/>
    <cellStyle name="千位分隔 6 3 5 4" xfId="31970"/>
    <cellStyle name="千位分隔 6 3 5 5" xfId="31971"/>
    <cellStyle name="千位分隔 6 3 5 6" xfId="31972"/>
    <cellStyle name="千位分隔 6 3 5 7" xfId="31973"/>
    <cellStyle name="千位分隔 6 3 6" xfId="31974"/>
    <cellStyle name="千位分隔 6 3 6 2" xfId="31975"/>
    <cellStyle name="千位分隔 6 3 7" xfId="31976"/>
    <cellStyle name="千位分隔 6 3 7 2" xfId="31977"/>
    <cellStyle name="千位分隔 6 3 8" xfId="31978"/>
    <cellStyle name="千位分隔 6 3 8 2" xfId="31979"/>
    <cellStyle name="千位分隔 6 3 9" xfId="31980"/>
    <cellStyle name="千位分隔 6 4" xfId="31981"/>
    <cellStyle name="千位分隔 6 4 10" xfId="31982"/>
    <cellStyle name="千位分隔 6 4 2" xfId="31983"/>
    <cellStyle name="千位分隔 6 4 2 2" xfId="31984"/>
    <cellStyle name="千位分隔 6 4 2 2 2" xfId="31985"/>
    <cellStyle name="千位分隔 6 4 2 2 2 2" xfId="31986"/>
    <cellStyle name="千位分隔 6 4 2 2 3" xfId="31987"/>
    <cellStyle name="千位分隔 6 4 2 2 4" xfId="31988"/>
    <cellStyle name="千位分隔 6 4 2 2 5" xfId="31989"/>
    <cellStyle name="千位分隔 6 4 2 2 6" xfId="31990"/>
    <cellStyle name="千位分隔 6 4 2 3" xfId="31991"/>
    <cellStyle name="千位分隔 6 4 2 3 2" xfId="31992"/>
    <cellStyle name="千位分隔 6 4 2 3 2 2" xfId="31993"/>
    <cellStyle name="千位分隔 6 4 2 3 3" xfId="31994"/>
    <cellStyle name="千位分隔 6 4 2 3 4" xfId="31995"/>
    <cellStyle name="千位分隔 6 4 2 3 5" xfId="31996"/>
    <cellStyle name="千位分隔 6 4 2 3 6" xfId="31997"/>
    <cellStyle name="千位分隔 6 4 2 4" xfId="31998"/>
    <cellStyle name="千位分隔 6 4 2 4 2" xfId="31999"/>
    <cellStyle name="千位分隔 6 4 2 5" xfId="32000"/>
    <cellStyle name="千位分隔 6 4 2 6" xfId="32001"/>
    <cellStyle name="千位分隔 6 4 2 7" xfId="32002"/>
    <cellStyle name="千位分隔 6 4 2 8" xfId="32003"/>
    <cellStyle name="千位分隔 6 4 2 9" xfId="32004"/>
    <cellStyle name="千位分隔 6 4 3" xfId="32005"/>
    <cellStyle name="千位分隔 6 4 3 2" xfId="32006"/>
    <cellStyle name="千位分隔 6 4 3 2 2" xfId="32007"/>
    <cellStyle name="千位分隔 6 4 3 3" xfId="32008"/>
    <cellStyle name="千位分隔 6 4 3 3 2" xfId="32009"/>
    <cellStyle name="千位分隔 6 4 3 4" xfId="32010"/>
    <cellStyle name="千位分隔 6 4 3 4 2" xfId="32011"/>
    <cellStyle name="千位分隔 6 4 3 5" xfId="32012"/>
    <cellStyle name="千位分隔 6 4 3 6" xfId="32013"/>
    <cellStyle name="千位分隔 6 4 3 7" xfId="32014"/>
    <cellStyle name="千位分隔 6 4 4" xfId="32015"/>
    <cellStyle name="千位分隔 6 4 4 2" xfId="32016"/>
    <cellStyle name="千位分隔 6 4 4 2 2" xfId="32017"/>
    <cellStyle name="千位分隔 6 4 4 3" xfId="32018"/>
    <cellStyle name="千位分隔 6 4 4 4" xfId="32019"/>
    <cellStyle name="千位分隔 6 4 4 5" xfId="32020"/>
    <cellStyle name="千位分隔 6 4 4 6" xfId="32021"/>
    <cellStyle name="千位分隔 6 4 4 7" xfId="32022"/>
    <cellStyle name="千位分隔 6 4 5" xfId="32023"/>
    <cellStyle name="千位分隔 6 4 5 2" xfId="32024"/>
    <cellStyle name="千位分隔 6 4 6" xfId="32025"/>
    <cellStyle name="千位分隔 6 4 6 2" xfId="32026"/>
    <cellStyle name="千位分隔 6 4 7" xfId="32027"/>
    <cellStyle name="千位分隔 6 4 7 2" xfId="32028"/>
    <cellStyle name="千位分隔 6 4 8" xfId="32029"/>
    <cellStyle name="千位分隔 6 4 9" xfId="32030"/>
    <cellStyle name="千位分隔 6 5" xfId="32031"/>
    <cellStyle name="千位分隔 6 5 2" xfId="32032"/>
    <cellStyle name="千位分隔 6 5 2 2" xfId="32033"/>
    <cellStyle name="千位分隔 6 5 2 2 2" xfId="32034"/>
    <cellStyle name="千位分隔 6 5 2 2 2 2" xfId="32035"/>
    <cellStyle name="千位分隔 6 5 2 2 3" xfId="32036"/>
    <cellStyle name="千位分隔 6 5 2 2 4" xfId="32037"/>
    <cellStyle name="千位分隔 6 5 2 2 5" xfId="32038"/>
    <cellStyle name="千位分隔 6 5 2 2 6" xfId="32039"/>
    <cellStyle name="千位分隔 6 5 2 3" xfId="32040"/>
    <cellStyle name="千位分隔 6 5 2 3 2" xfId="32041"/>
    <cellStyle name="千位分隔 6 5 2 4" xfId="32042"/>
    <cellStyle name="千位分隔 6 5 2 5" xfId="32043"/>
    <cellStyle name="千位分隔 6 5 2 6" xfId="32044"/>
    <cellStyle name="千位分隔 6 5 2 7" xfId="32045"/>
    <cellStyle name="千位分隔 6 5 3" xfId="32046"/>
    <cellStyle name="千位分隔 6 5 3 2" xfId="32047"/>
    <cellStyle name="千位分隔 6 5 3 2 2" xfId="32048"/>
    <cellStyle name="千位分隔 6 5 3 3" xfId="32049"/>
    <cellStyle name="千位分隔 6 5 3 4" xfId="32050"/>
    <cellStyle name="千位分隔 6 5 3 5" xfId="32051"/>
    <cellStyle name="千位分隔 6 5 3 6" xfId="32052"/>
    <cellStyle name="千位分隔 6 5 4" xfId="32053"/>
    <cellStyle name="千位分隔 6 5 4 2" xfId="32054"/>
    <cellStyle name="千位分隔 6 5 5" xfId="32055"/>
    <cellStyle name="千位分隔 6 5 6" xfId="32056"/>
    <cellStyle name="千位分隔 6 5 7" xfId="32057"/>
    <cellStyle name="千位分隔 6 5 8" xfId="32058"/>
    <cellStyle name="千位分隔 6 6" xfId="32059"/>
    <cellStyle name="千位分隔 6 6 2" xfId="32060"/>
    <cellStyle name="千位分隔 6 6 2 2" xfId="32061"/>
    <cellStyle name="千位分隔 6 6 2 2 2" xfId="32062"/>
    <cellStyle name="千位分隔 6 6 2 3" xfId="32063"/>
    <cellStyle name="千位分隔 6 6 2 4" xfId="32064"/>
    <cellStyle name="千位分隔 6 6 2 5" xfId="32065"/>
    <cellStyle name="千位分隔 6 6 2 6" xfId="32066"/>
    <cellStyle name="千位分隔 6 6 3" xfId="32067"/>
    <cellStyle name="千位分隔 6 6 3 2" xfId="32068"/>
    <cellStyle name="千位分隔 6 6 3 2 2" xfId="32069"/>
    <cellStyle name="千位分隔 6 6 3 3" xfId="32070"/>
    <cellStyle name="千位分隔 6 6 3 4" xfId="32071"/>
    <cellStyle name="千位分隔 6 6 3 5" xfId="32072"/>
    <cellStyle name="千位分隔 6 6 3 6" xfId="32073"/>
    <cellStyle name="千位分隔 6 6 4" xfId="32074"/>
    <cellStyle name="千位分隔 6 6 4 2" xfId="32075"/>
    <cellStyle name="千位分隔 6 6 5" xfId="32076"/>
    <cellStyle name="千位分隔 6 6 6" xfId="32077"/>
    <cellStyle name="千位分隔 6 6 7" xfId="32078"/>
    <cellStyle name="千位分隔 6 6 8" xfId="32079"/>
    <cellStyle name="千位分隔 6 7" xfId="32080"/>
    <cellStyle name="千位分隔 6 7 2" xfId="32081"/>
    <cellStyle name="千位分隔 6 7 2 2" xfId="32082"/>
    <cellStyle name="千位分隔 6 7 3" xfId="32083"/>
    <cellStyle name="千位分隔 6 7 4" xfId="32084"/>
    <cellStyle name="千位分隔 6 7 5" xfId="32085"/>
    <cellStyle name="千位分隔 6 7 6" xfId="32086"/>
    <cellStyle name="千位分隔 6 7 7" xfId="32087"/>
    <cellStyle name="千位分隔 6 8" xfId="32088"/>
    <cellStyle name="千位分隔 6 8 2" xfId="32089"/>
    <cellStyle name="千位分隔 6 8 2 2" xfId="32090"/>
    <cellStyle name="千位分隔 6 8 3" xfId="32091"/>
    <cellStyle name="千位分隔 6 8 3 2" xfId="32092"/>
    <cellStyle name="千位分隔 6 8 4" xfId="32093"/>
    <cellStyle name="千位分隔 6 8 4 2" xfId="32094"/>
    <cellStyle name="千位分隔 6 8 5" xfId="32095"/>
    <cellStyle name="千位分隔 6 8 6" xfId="32096"/>
    <cellStyle name="千位分隔 6 8 7" xfId="32097"/>
    <cellStyle name="千位分隔 6 9" xfId="32098"/>
    <cellStyle name="千位分隔 6 9 2" xfId="32099"/>
    <cellStyle name="千位分隔 6 9 3" xfId="32100"/>
    <cellStyle name="千位分隔 6 9 4" xfId="32101"/>
    <cellStyle name="千位分隔 6 9 5" xfId="32102"/>
    <cellStyle name="千位分隔 6 9 6" xfId="32103"/>
    <cellStyle name="千位分隔 6 9 7" xfId="32104"/>
    <cellStyle name="千位分隔 7" xfId="32105"/>
    <cellStyle name="千位分隔 7 10" xfId="32106"/>
    <cellStyle name="千位分隔 7 11" xfId="32107"/>
    <cellStyle name="千位分隔 7 2" xfId="32108"/>
    <cellStyle name="千位分隔 7 2 10" xfId="32109"/>
    <cellStyle name="千位分隔 7 2 2" xfId="32110"/>
    <cellStyle name="千位分隔 7 2 2 2" xfId="32111"/>
    <cellStyle name="千位分隔 7 2 2 2 2" xfId="32112"/>
    <cellStyle name="千位分隔 7 2 2 2 2 2" xfId="32113"/>
    <cellStyle name="千位分隔 7 2 2 2 3" xfId="32114"/>
    <cellStyle name="千位分隔 7 2 2 2 4" xfId="32115"/>
    <cellStyle name="千位分隔 7 2 2 2 5" xfId="32116"/>
    <cellStyle name="千位分隔 7 2 2 2 6" xfId="32117"/>
    <cellStyle name="千位分隔 7 2 2 3" xfId="32118"/>
    <cellStyle name="千位分隔 7 2 2 3 2" xfId="32119"/>
    <cellStyle name="千位分隔 7 2 2 3 2 2" xfId="32120"/>
    <cellStyle name="千位分隔 7 2 2 3 3" xfId="32121"/>
    <cellStyle name="千位分隔 7 2 2 3 4" xfId="32122"/>
    <cellStyle name="千位分隔 7 2 2 3 5" xfId="32123"/>
    <cellStyle name="千位分隔 7 2 2 3 6" xfId="32124"/>
    <cellStyle name="千位分隔 7 2 2 4" xfId="32125"/>
    <cellStyle name="千位分隔 7 2 2 4 2" xfId="32126"/>
    <cellStyle name="千位分隔 7 2 2 5" xfId="32127"/>
    <cellStyle name="千位分隔 7 2 2 6" xfId="32128"/>
    <cellStyle name="千位分隔 7 2 2 7" xfId="32129"/>
    <cellStyle name="千位分隔 7 2 2 8" xfId="32130"/>
    <cellStyle name="千位分隔 7 2 3" xfId="32131"/>
    <cellStyle name="千位分隔 7 2 3 2" xfId="32132"/>
    <cellStyle name="千位分隔 7 2 3 2 2" xfId="32133"/>
    <cellStyle name="千位分隔 7 2 3 3" xfId="32134"/>
    <cellStyle name="千位分隔 7 2 3 4" xfId="32135"/>
    <cellStyle name="千位分隔 7 2 3 5" xfId="32136"/>
    <cellStyle name="千位分隔 7 2 3 6" xfId="32137"/>
    <cellStyle name="千位分隔 7 2 4" xfId="32138"/>
    <cellStyle name="千位分隔 7 2 4 2" xfId="32139"/>
    <cellStyle name="千位分隔 7 2 4 2 2" xfId="32140"/>
    <cellStyle name="千位分隔 7 2 4 3" xfId="32141"/>
    <cellStyle name="千位分隔 7 2 4 4" xfId="32142"/>
    <cellStyle name="千位分隔 7 2 4 5" xfId="32143"/>
    <cellStyle name="千位分隔 7 2 4 6" xfId="32144"/>
    <cellStyle name="千位分隔 7 2 5" xfId="32145"/>
    <cellStyle name="千位分隔 7 2 5 2" xfId="32146"/>
    <cellStyle name="千位分隔 7 2 6" xfId="32147"/>
    <cellStyle name="千位分隔 7 2 7" xfId="32148"/>
    <cellStyle name="千位分隔 7 2 8" xfId="32149"/>
    <cellStyle name="千位分隔 7 2 9" xfId="32150"/>
    <cellStyle name="千位分隔 7 3" xfId="32151"/>
    <cellStyle name="千位分隔 7 3 2" xfId="32152"/>
    <cellStyle name="千位分隔 7 3 2 2" xfId="32153"/>
    <cellStyle name="千位分隔 7 3 2 2 2" xfId="32154"/>
    <cellStyle name="千位分隔 7 3 2 3" xfId="32155"/>
    <cellStyle name="千位分隔 7 3 2 4" xfId="32156"/>
    <cellStyle name="千位分隔 7 3 2 5" xfId="32157"/>
    <cellStyle name="千位分隔 7 3 2 6" xfId="32158"/>
    <cellStyle name="千位分隔 7 3 3" xfId="32159"/>
    <cellStyle name="千位分隔 7 3 3 2" xfId="32160"/>
    <cellStyle name="千位分隔 7 3 3 3" xfId="32161"/>
    <cellStyle name="千位分隔 7 3 3 4" xfId="32162"/>
    <cellStyle name="千位分隔 7 3 4" xfId="32163"/>
    <cellStyle name="千位分隔 7 3 4 2" xfId="32164"/>
    <cellStyle name="千位分隔 7 3 5" xfId="32165"/>
    <cellStyle name="千位分隔 7 3 6" xfId="32166"/>
    <cellStyle name="千位分隔 7 3 7" xfId="32167"/>
    <cellStyle name="千位分隔 7 3 8" xfId="32168"/>
    <cellStyle name="千位分隔 7 4" xfId="32169"/>
    <cellStyle name="千位分隔 7 4 2" xfId="32170"/>
    <cellStyle name="千位分隔 7 4 2 2" xfId="32171"/>
    <cellStyle name="千位分隔 7 4 2 2 2" xfId="32172"/>
    <cellStyle name="千位分隔 7 4 2 3" xfId="32173"/>
    <cellStyle name="千位分隔 7 4 2 4" xfId="32174"/>
    <cellStyle name="千位分隔 7 4 2 5" xfId="32175"/>
    <cellStyle name="千位分隔 7 4 2 6" xfId="32176"/>
    <cellStyle name="千位分隔 7 4 3" xfId="32177"/>
    <cellStyle name="千位分隔 7 4 3 2" xfId="32178"/>
    <cellStyle name="千位分隔 7 4 4" xfId="32179"/>
    <cellStyle name="千位分隔 7 4 5" xfId="32180"/>
    <cellStyle name="千位分隔 7 4 6" xfId="32181"/>
    <cellStyle name="千位分隔 7 4 7" xfId="32182"/>
    <cellStyle name="千位分隔 7 5" xfId="32183"/>
    <cellStyle name="千位分隔 7 5 2" xfId="32184"/>
    <cellStyle name="千位分隔 7 5 2 2" xfId="32185"/>
    <cellStyle name="千位分隔 7 5 3" xfId="32186"/>
    <cellStyle name="千位分隔 7 5 4" xfId="32187"/>
    <cellStyle name="千位分隔 7 5 5" xfId="32188"/>
    <cellStyle name="千位分隔 7 5 6" xfId="32189"/>
    <cellStyle name="千位分隔 7 6" xfId="32190"/>
    <cellStyle name="千位分隔 7 6 2" xfId="32191"/>
    <cellStyle name="千位分隔 7 7" xfId="32192"/>
    <cellStyle name="千位分隔 7 8" xfId="32193"/>
    <cellStyle name="千位分隔 7 9" xfId="32194"/>
    <cellStyle name="千位分隔 8" xfId="32195"/>
    <cellStyle name="千位分隔 8 2" xfId="32196"/>
    <cellStyle name="千位分隔 8 2 2" xfId="32197"/>
    <cellStyle name="千位分隔 8 2 3" xfId="32198"/>
    <cellStyle name="千位分隔 8 2 4" xfId="32199"/>
    <cellStyle name="千位分隔 8 3" xfId="32200"/>
    <cellStyle name="千位分隔 8 4" xfId="32201"/>
    <cellStyle name="千位分隔 8 5" xfId="32202"/>
    <cellStyle name="千位分隔 8 6" xfId="32203"/>
    <cellStyle name="千位分隔 9" xfId="32204"/>
    <cellStyle name="千位分隔 9 2" xfId="32205"/>
    <cellStyle name="千位分隔 9 2 2" xfId="32206"/>
    <cellStyle name="千位分隔 9 2 3" xfId="32207"/>
    <cellStyle name="千位分隔 9 2 4" xfId="32208"/>
    <cellStyle name="千位分隔 9 3" xfId="32209"/>
    <cellStyle name="千位分隔 9 4" xfId="32210"/>
    <cellStyle name="千位分隔 9 5" xfId="32211"/>
    <cellStyle name="千位分隔 9 6" xfId="32212"/>
    <cellStyle name="千位分隔[0] 2" xfId="32213"/>
    <cellStyle name="千位分隔[0] 2 2" xfId="32214"/>
    <cellStyle name="强调文字颜色 1 2" xfId="32215"/>
    <cellStyle name="强调文字颜色 2 2" xfId="32216"/>
    <cellStyle name="强调文字颜色 3 2" xfId="32217"/>
    <cellStyle name="强调文字颜色 4 2" xfId="32218"/>
    <cellStyle name="强调文字颜色 5 2" xfId="32219"/>
    <cellStyle name="强调文字颜色 6 2" xfId="32220"/>
    <cellStyle name="适中 2" xfId="32221"/>
    <cellStyle name="适中 2 2" xfId="32222"/>
    <cellStyle name="适中 3" xfId="32223"/>
    <cellStyle name="输出 2" xfId="32224"/>
    <cellStyle name="输出 2 2" xfId="32225"/>
    <cellStyle name="输出 2 2 2" xfId="32226"/>
    <cellStyle name="输出 2 2 2 2" xfId="32227"/>
    <cellStyle name="输出 2 2 2 2 2" xfId="32228"/>
    <cellStyle name="输出 2 2 2 2 2 2" xfId="32229"/>
    <cellStyle name="输出 2 2 2 2 2 2 2" xfId="32230"/>
    <cellStyle name="输出 2 2 2 2 2 3" xfId="32231"/>
    <cellStyle name="输出 2 2 2 2 3" xfId="32232"/>
    <cellStyle name="输出 2 2 2 2 3 2" xfId="32233"/>
    <cellStyle name="输出 2 2 2 2 4" xfId="32234"/>
    <cellStyle name="输出 2 2 2 3" xfId="32235"/>
    <cellStyle name="输出 2 2 2 3 2" xfId="32236"/>
    <cellStyle name="输出 2 2 2 3 2 2" xfId="32237"/>
    <cellStyle name="输出 2 2 2 3 3" xfId="32238"/>
    <cellStyle name="输出 2 2 2 4" xfId="32239"/>
    <cellStyle name="输出 2 2 2 4 2" xfId="32240"/>
    <cellStyle name="输出 2 2 2 4 2 2" xfId="32241"/>
    <cellStyle name="输出 2 2 2 4 3" xfId="32242"/>
    <cellStyle name="输出 2 2 2 5" xfId="32243"/>
    <cellStyle name="输出 2 2 2 5 2" xfId="32244"/>
    <cellStyle name="输出 2 2 2 6" xfId="32245"/>
    <cellStyle name="输出 2 2 3" xfId="32246"/>
    <cellStyle name="输出 2 2 3 2" xfId="32247"/>
    <cellStyle name="输出 2 2 3 2 2" xfId="32248"/>
    <cellStyle name="输出 2 2 3 2 2 2" xfId="32249"/>
    <cellStyle name="输出 2 2 3 2 3" xfId="32250"/>
    <cellStyle name="输出 2 2 3 3" xfId="32251"/>
    <cellStyle name="输出 2 2 3 3 2" xfId="32252"/>
    <cellStyle name="输出 2 2 3 3 2 2" xfId="32253"/>
    <cellStyle name="输出 2 2 3 3 3" xfId="32254"/>
    <cellStyle name="输出 2 2 3 4" xfId="32255"/>
    <cellStyle name="输出 2 2 3 4 2" xfId="32256"/>
    <cellStyle name="输出 2 2 3 5" xfId="32257"/>
    <cellStyle name="输出 2 2 4" xfId="32258"/>
    <cellStyle name="输出 2 2 4 2" xfId="32259"/>
    <cellStyle name="输出 2 2 4 2 2" xfId="32260"/>
    <cellStyle name="输出 2 2 4 2 2 2" xfId="32261"/>
    <cellStyle name="输出 2 2 4 2 3" xfId="32262"/>
    <cellStyle name="输出 2 2 4 3" xfId="32263"/>
    <cellStyle name="输出 2 2 4 3 2" xfId="32264"/>
    <cellStyle name="输出 2 2 4 4" xfId="32265"/>
    <cellStyle name="输出 2 2 5" xfId="32266"/>
    <cellStyle name="输出 2 2 5 2" xfId="32267"/>
    <cellStyle name="输出 2 2 5 2 2" xfId="32268"/>
    <cellStyle name="输出 2 2 5 3" xfId="32269"/>
    <cellStyle name="输出 2 2 6" xfId="32270"/>
    <cellStyle name="输出 2 2 6 2" xfId="32271"/>
    <cellStyle name="输出 2 2 6 2 2" xfId="32272"/>
    <cellStyle name="输出 2 2 6 3" xfId="32273"/>
    <cellStyle name="输出 2 2 7" xfId="32274"/>
    <cellStyle name="输出 2 2 7 2" xfId="32275"/>
    <cellStyle name="输出 2 2 8" xfId="32276"/>
    <cellStyle name="输出 2 3" xfId="32277"/>
    <cellStyle name="输出 2 3 2" xfId="32278"/>
    <cellStyle name="输出 2 3 2 2" xfId="32279"/>
    <cellStyle name="输出 2 3 2 2 2" xfId="32280"/>
    <cellStyle name="输出 2 3 2 2 2 2" xfId="32281"/>
    <cellStyle name="输出 2 3 2 2 3" xfId="32282"/>
    <cellStyle name="输出 2 3 2 3" xfId="32283"/>
    <cellStyle name="输出 2 3 2 3 2" xfId="32284"/>
    <cellStyle name="输出 2 3 2 4" xfId="32285"/>
    <cellStyle name="输出 2 3 3" xfId="32286"/>
    <cellStyle name="输出 2 3 3 2" xfId="32287"/>
    <cellStyle name="输出 2 3 3 2 2" xfId="32288"/>
    <cellStyle name="输出 2 3 3 3" xfId="32289"/>
    <cellStyle name="输出 2 3 4" xfId="32290"/>
    <cellStyle name="输出 2 3 4 2" xfId="32291"/>
    <cellStyle name="输出 2 3 4 2 2" xfId="32292"/>
    <cellStyle name="输出 2 3 4 3" xfId="32293"/>
    <cellStyle name="输出 2 3 5" xfId="32294"/>
    <cellStyle name="输出 2 3 5 2" xfId="32295"/>
    <cellStyle name="输出 2 3 6" xfId="32296"/>
    <cellStyle name="输出 2 4" xfId="32297"/>
    <cellStyle name="输出 2 4 2" xfId="32298"/>
    <cellStyle name="输出 2 4 2 2" xfId="32299"/>
    <cellStyle name="输出 2 4 2 2 2" xfId="32300"/>
    <cellStyle name="输出 2 4 2 3" xfId="32301"/>
    <cellStyle name="输出 2 4 3" xfId="32302"/>
    <cellStyle name="输出 2 4 3 2" xfId="32303"/>
    <cellStyle name="输出 2 4 3 2 2" xfId="32304"/>
    <cellStyle name="输出 2 4 3 3" xfId="32305"/>
    <cellStyle name="输出 2 4 4" xfId="32306"/>
    <cellStyle name="输出 2 4 4 2" xfId="32307"/>
    <cellStyle name="输出 2 4 5" xfId="32308"/>
    <cellStyle name="输出 2 5" xfId="32309"/>
    <cellStyle name="输出 2 5 2" xfId="32310"/>
    <cellStyle name="输出 2 5 2 2" xfId="32311"/>
    <cellStyle name="输出 2 5 2 2 2" xfId="32312"/>
    <cellStyle name="输出 2 5 2 3" xfId="32313"/>
    <cellStyle name="输出 2 5 3" xfId="32314"/>
    <cellStyle name="输出 2 5 3 2" xfId="32315"/>
    <cellStyle name="输出 2 5 4" xfId="32316"/>
    <cellStyle name="输出 2 6" xfId="32317"/>
    <cellStyle name="输出 2 6 2" xfId="32318"/>
    <cellStyle name="输出 2 6 2 2" xfId="32319"/>
    <cellStyle name="输出 2 6 3" xfId="32320"/>
    <cellStyle name="输出 2 7" xfId="32321"/>
    <cellStyle name="输出 2 7 2" xfId="32322"/>
    <cellStyle name="输出 2 7 2 2" xfId="32323"/>
    <cellStyle name="输出 2 7 3" xfId="32324"/>
    <cellStyle name="输出 2 8" xfId="32325"/>
    <cellStyle name="输出 2 8 2" xfId="32326"/>
    <cellStyle name="输出 2 9" xfId="32327"/>
    <cellStyle name="输出 3" xfId="32328"/>
    <cellStyle name="输出 3 2" xfId="32329"/>
    <cellStyle name="输出 3 2 2" xfId="32330"/>
    <cellStyle name="输出 3 2 2 2" xfId="32331"/>
    <cellStyle name="输出 3 2 2 2 2" xfId="32332"/>
    <cellStyle name="输出 3 2 2 2 2 2" xfId="32333"/>
    <cellStyle name="输出 3 2 2 2 3" xfId="32334"/>
    <cellStyle name="输出 3 2 2 3" xfId="32335"/>
    <cellStyle name="输出 3 2 2 3 2" xfId="32336"/>
    <cellStyle name="输出 3 2 2 4" xfId="32337"/>
    <cellStyle name="输出 3 2 3" xfId="32338"/>
    <cellStyle name="输出 3 2 3 2" xfId="32339"/>
    <cellStyle name="输出 3 2 3 2 2" xfId="32340"/>
    <cellStyle name="输出 3 2 3 3" xfId="32341"/>
    <cellStyle name="输出 3 2 4" xfId="32342"/>
    <cellStyle name="输出 3 2 4 2" xfId="32343"/>
    <cellStyle name="输出 3 2 4 2 2" xfId="32344"/>
    <cellStyle name="输出 3 2 4 3" xfId="32345"/>
    <cellStyle name="输出 3 2 5" xfId="32346"/>
    <cellStyle name="输出 3 2 5 2" xfId="32347"/>
    <cellStyle name="输出 3 2 6" xfId="32348"/>
    <cellStyle name="输出 3 3" xfId="32349"/>
    <cellStyle name="输出 3 3 2" xfId="32350"/>
    <cellStyle name="输出 3 3 2 2" xfId="32351"/>
    <cellStyle name="输出 3 3 2 2 2" xfId="32352"/>
    <cellStyle name="输出 3 3 2 3" xfId="32353"/>
    <cellStyle name="输出 3 3 3" xfId="32354"/>
    <cellStyle name="输出 3 3 3 2" xfId="32355"/>
    <cellStyle name="输出 3 3 3 2 2" xfId="32356"/>
    <cellStyle name="输出 3 3 3 3" xfId="32357"/>
    <cellStyle name="输出 3 3 4" xfId="32358"/>
    <cellStyle name="输出 3 3 4 2" xfId="32359"/>
    <cellStyle name="输出 3 3 5" xfId="32360"/>
    <cellStyle name="输出 3 4" xfId="32361"/>
    <cellStyle name="输出 3 4 2" xfId="32362"/>
    <cellStyle name="输出 3 4 2 2" xfId="32363"/>
    <cellStyle name="输出 3 4 2 2 2" xfId="32364"/>
    <cellStyle name="输出 3 4 2 3" xfId="32365"/>
    <cellStyle name="输出 3 4 3" xfId="32366"/>
    <cellStyle name="输出 3 4 3 2" xfId="32367"/>
    <cellStyle name="输出 3 4 4" xfId="32368"/>
    <cellStyle name="输出 3 5" xfId="32369"/>
    <cellStyle name="输出 3 5 2" xfId="32370"/>
    <cellStyle name="输出 3 5 2 2" xfId="32371"/>
    <cellStyle name="输出 3 5 3" xfId="32372"/>
    <cellStyle name="输出 3 6" xfId="32373"/>
    <cellStyle name="输出 3 6 2" xfId="32374"/>
    <cellStyle name="输出 3 6 2 2" xfId="32375"/>
    <cellStyle name="输出 3 6 3" xfId="32376"/>
    <cellStyle name="输出 3 7" xfId="32377"/>
    <cellStyle name="输出 3 7 2" xfId="32378"/>
    <cellStyle name="输出 3 8" xfId="32379"/>
    <cellStyle name="输入 2" xfId="32380"/>
    <cellStyle name="输入 2 2" xfId="32381"/>
    <cellStyle name="输入 2 2 2" xfId="32382"/>
    <cellStyle name="输入 2 2 2 2" xfId="32383"/>
    <cellStyle name="输入 2 2 2 2 2" xfId="32384"/>
    <cellStyle name="输入 2 2 2 2 2 2" xfId="32385"/>
    <cellStyle name="输入 2 2 2 2 2 2 2" xfId="32386"/>
    <cellStyle name="输入 2 2 2 2 2 3" xfId="32387"/>
    <cellStyle name="输入 2 2 2 2 3" xfId="32388"/>
    <cellStyle name="输入 2 2 2 2 3 2" xfId="32389"/>
    <cellStyle name="输入 2 2 2 2 4" xfId="32390"/>
    <cellStyle name="输入 2 2 2 3" xfId="32391"/>
    <cellStyle name="输入 2 2 2 3 2" xfId="32392"/>
    <cellStyle name="输入 2 2 2 3 2 2" xfId="32393"/>
    <cellStyle name="输入 2 2 2 3 3" xfId="32394"/>
    <cellStyle name="输入 2 2 2 4" xfId="32395"/>
    <cellStyle name="输入 2 2 2 4 2" xfId="32396"/>
    <cellStyle name="输入 2 2 2 4 2 2" xfId="32397"/>
    <cellStyle name="输入 2 2 2 4 3" xfId="32398"/>
    <cellStyle name="输入 2 2 2 5" xfId="32399"/>
    <cellStyle name="输入 2 2 2 5 2" xfId="32400"/>
    <cellStyle name="输入 2 2 2 6" xfId="32401"/>
    <cellStyle name="输入 2 2 3" xfId="32402"/>
    <cellStyle name="输入 2 2 3 2" xfId="32403"/>
    <cellStyle name="输入 2 2 3 2 2" xfId="32404"/>
    <cellStyle name="输入 2 2 3 2 2 2" xfId="32405"/>
    <cellStyle name="输入 2 2 3 2 3" xfId="32406"/>
    <cellStyle name="输入 2 2 3 3" xfId="32407"/>
    <cellStyle name="输入 2 2 3 3 2" xfId="32408"/>
    <cellStyle name="输入 2 2 3 3 2 2" xfId="32409"/>
    <cellStyle name="输入 2 2 3 3 3" xfId="32410"/>
    <cellStyle name="输入 2 2 3 4" xfId="32411"/>
    <cellStyle name="输入 2 2 3 4 2" xfId="32412"/>
    <cellStyle name="输入 2 2 3 5" xfId="32413"/>
    <cellStyle name="输入 2 2 4" xfId="32414"/>
    <cellStyle name="输入 2 2 4 2" xfId="32415"/>
    <cellStyle name="输入 2 2 4 2 2" xfId="32416"/>
    <cellStyle name="输入 2 2 4 2 2 2" xfId="32417"/>
    <cellStyle name="输入 2 2 4 2 3" xfId="32418"/>
    <cellStyle name="输入 2 2 4 3" xfId="32419"/>
    <cellStyle name="输入 2 2 4 3 2" xfId="32420"/>
    <cellStyle name="输入 2 2 4 4" xfId="32421"/>
    <cellStyle name="输入 2 2 5" xfId="32422"/>
    <cellStyle name="输入 2 2 5 2" xfId="32423"/>
    <cellStyle name="输入 2 2 5 2 2" xfId="32424"/>
    <cellStyle name="输入 2 2 5 3" xfId="32425"/>
    <cellStyle name="输入 2 2 6" xfId="32426"/>
    <cellStyle name="输入 2 2 6 2" xfId="32427"/>
    <cellStyle name="输入 2 2 6 2 2" xfId="32428"/>
    <cellStyle name="输入 2 2 6 3" xfId="32429"/>
    <cellStyle name="输入 2 2 7" xfId="32430"/>
    <cellStyle name="输入 2 2 7 2" xfId="32431"/>
    <cellStyle name="输入 2 2 8" xfId="32432"/>
    <cellStyle name="输入 2 3" xfId="32433"/>
    <cellStyle name="输入 2 3 2" xfId="32434"/>
    <cellStyle name="输入 2 3 2 2" xfId="32435"/>
    <cellStyle name="输入 2 3 2 2 2" xfId="32436"/>
    <cellStyle name="输入 2 3 2 2 2 2" xfId="32437"/>
    <cellStyle name="输入 2 3 2 2 3" xfId="32438"/>
    <cellStyle name="输入 2 3 2 3" xfId="32439"/>
    <cellStyle name="输入 2 3 2 3 2" xfId="32440"/>
    <cellStyle name="输入 2 3 2 4" xfId="32441"/>
    <cellStyle name="输入 2 3 3" xfId="32442"/>
    <cellStyle name="输入 2 3 3 2" xfId="32443"/>
    <cellStyle name="输入 2 3 3 2 2" xfId="32444"/>
    <cellStyle name="输入 2 3 3 3" xfId="32445"/>
    <cellStyle name="输入 2 3 4" xfId="32446"/>
    <cellStyle name="输入 2 3 4 2" xfId="32447"/>
    <cellStyle name="输入 2 3 4 2 2" xfId="32448"/>
    <cellStyle name="输入 2 3 4 3" xfId="32449"/>
    <cellStyle name="输入 2 3 5" xfId="32450"/>
    <cellStyle name="输入 2 3 5 2" xfId="32451"/>
    <cellStyle name="输入 2 3 6" xfId="32452"/>
    <cellStyle name="输入 2 4" xfId="32453"/>
    <cellStyle name="输入 2 4 2" xfId="32454"/>
    <cellStyle name="输入 2 4 2 2" xfId="32455"/>
    <cellStyle name="输入 2 4 2 2 2" xfId="32456"/>
    <cellStyle name="输入 2 4 2 3" xfId="32457"/>
    <cellStyle name="输入 2 4 3" xfId="32458"/>
    <cellStyle name="输入 2 4 3 2" xfId="32459"/>
    <cellStyle name="输入 2 4 3 2 2" xfId="32460"/>
    <cellStyle name="输入 2 4 3 3" xfId="32461"/>
    <cellStyle name="输入 2 4 4" xfId="32462"/>
    <cellStyle name="输入 2 4 4 2" xfId="32463"/>
    <cellStyle name="输入 2 4 5" xfId="32464"/>
    <cellStyle name="输入 2 5" xfId="32465"/>
    <cellStyle name="输入 2 5 2" xfId="32466"/>
    <cellStyle name="输入 2 5 2 2" xfId="32467"/>
    <cellStyle name="输入 2 5 2 2 2" xfId="32468"/>
    <cellStyle name="输入 2 5 2 3" xfId="32469"/>
    <cellStyle name="输入 2 5 3" xfId="32470"/>
    <cellStyle name="输入 2 5 3 2" xfId="32471"/>
    <cellStyle name="输入 2 5 4" xfId="32472"/>
    <cellStyle name="输入 2 6" xfId="32473"/>
    <cellStyle name="输入 2 6 2" xfId="32474"/>
    <cellStyle name="输入 2 6 2 2" xfId="32475"/>
    <cellStyle name="输入 2 6 3" xfId="32476"/>
    <cellStyle name="输入 2 7" xfId="32477"/>
    <cellStyle name="输入 2 7 2" xfId="32478"/>
    <cellStyle name="输入 2 7 2 2" xfId="32479"/>
    <cellStyle name="输入 2 7 3" xfId="32480"/>
    <cellStyle name="输入 2 8" xfId="32481"/>
    <cellStyle name="输入 2 8 2" xfId="32482"/>
    <cellStyle name="输入 2 9" xfId="32483"/>
    <cellStyle name="输入 3" xfId="32484"/>
    <cellStyle name="输入 3 2" xfId="32485"/>
    <cellStyle name="输入 3 2 2" xfId="32486"/>
    <cellStyle name="输入 3 2 2 2" xfId="32487"/>
    <cellStyle name="输入 3 2 2 2 2" xfId="32488"/>
    <cellStyle name="输入 3 2 2 2 2 2" xfId="32489"/>
    <cellStyle name="输入 3 2 2 2 3" xfId="32490"/>
    <cellStyle name="输入 3 2 2 3" xfId="32491"/>
    <cellStyle name="输入 3 2 2 3 2" xfId="32492"/>
    <cellStyle name="输入 3 2 2 4" xfId="32493"/>
    <cellStyle name="输入 3 2 3" xfId="32494"/>
    <cellStyle name="输入 3 2 3 2" xfId="32495"/>
    <cellStyle name="输入 3 2 3 2 2" xfId="32496"/>
    <cellStyle name="输入 3 2 3 3" xfId="32497"/>
    <cellStyle name="输入 3 2 4" xfId="32498"/>
    <cellStyle name="输入 3 2 4 2" xfId="32499"/>
    <cellStyle name="输入 3 2 4 2 2" xfId="32500"/>
    <cellStyle name="输入 3 2 4 3" xfId="32501"/>
    <cellStyle name="输入 3 2 5" xfId="32502"/>
    <cellStyle name="输入 3 2 5 2" xfId="32503"/>
    <cellStyle name="输入 3 2 6" xfId="32504"/>
    <cellStyle name="输入 3 3" xfId="32505"/>
    <cellStyle name="输入 3 3 2" xfId="32506"/>
    <cellStyle name="输入 3 3 2 2" xfId="32507"/>
    <cellStyle name="输入 3 3 2 2 2" xfId="32508"/>
    <cellStyle name="输入 3 3 2 3" xfId="32509"/>
    <cellStyle name="输入 3 3 3" xfId="32510"/>
    <cellStyle name="输入 3 3 3 2" xfId="32511"/>
    <cellStyle name="输入 3 3 3 2 2" xfId="32512"/>
    <cellStyle name="输入 3 3 3 3" xfId="32513"/>
    <cellStyle name="输入 3 3 4" xfId="32514"/>
    <cellStyle name="输入 3 3 4 2" xfId="32515"/>
    <cellStyle name="输入 3 3 5" xfId="32516"/>
    <cellStyle name="输入 3 4" xfId="32517"/>
    <cellStyle name="输入 3 4 2" xfId="32518"/>
    <cellStyle name="输入 3 4 2 2" xfId="32519"/>
    <cellStyle name="输入 3 4 2 2 2" xfId="32520"/>
    <cellStyle name="输入 3 4 2 3" xfId="32521"/>
    <cellStyle name="输入 3 4 3" xfId="32522"/>
    <cellStyle name="输入 3 4 3 2" xfId="32523"/>
    <cellStyle name="输入 3 4 4" xfId="32524"/>
    <cellStyle name="输入 3 5" xfId="32525"/>
    <cellStyle name="输入 3 5 2" xfId="32526"/>
    <cellStyle name="输入 3 5 2 2" xfId="32527"/>
    <cellStyle name="输入 3 5 3" xfId="32528"/>
    <cellStyle name="输入 3 6" xfId="32529"/>
    <cellStyle name="输入 3 6 2" xfId="32530"/>
    <cellStyle name="输入 3 6 2 2" xfId="32531"/>
    <cellStyle name="输入 3 6 3" xfId="32532"/>
    <cellStyle name="输入 3 7" xfId="32533"/>
    <cellStyle name="输入 3 7 2" xfId="32534"/>
    <cellStyle name="输入 3 8" xfId="32535"/>
    <cellStyle name="样式 1" xfId="32536"/>
    <cellStyle name="样式 1 2" xfId="32537"/>
    <cellStyle name="样式 1 3" xfId="32538"/>
    <cellStyle name="着色 1 4" xfId="32539"/>
    <cellStyle name="着色 1 2" xfId="32540"/>
    <cellStyle name="着色 1 3" xfId="32541"/>
    <cellStyle name="着色 2 4" xfId="32542"/>
    <cellStyle name="着色 2 2" xfId="32543"/>
    <cellStyle name="着色 2 3" xfId="32544"/>
    <cellStyle name="着色 3 4" xfId="32545"/>
    <cellStyle name="着色 3 2" xfId="32546"/>
    <cellStyle name="着色 3 3" xfId="32547"/>
    <cellStyle name="着色 4 4" xfId="32548"/>
    <cellStyle name="着色 4 2" xfId="32549"/>
    <cellStyle name="着色 4 3" xfId="32550"/>
    <cellStyle name="着色 5 4" xfId="32551"/>
    <cellStyle name="着色 5 2" xfId="32552"/>
    <cellStyle name="着色 5 3" xfId="32553"/>
    <cellStyle name="着色 6 4" xfId="32554"/>
    <cellStyle name="着色 6 2" xfId="32555"/>
    <cellStyle name="着色 6 3" xfId="32556"/>
    <cellStyle name="注释 2" xfId="32557"/>
    <cellStyle name="注释 2 10" xfId="32558"/>
    <cellStyle name="注释 2 10 2" xfId="32559"/>
    <cellStyle name="注释 2 10 2 2" xfId="32560"/>
    <cellStyle name="注释 2 10 2 3" xfId="32561"/>
    <cellStyle name="注释 2 10 2 4" xfId="32562"/>
    <cellStyle name="注释 2 10 2 5" xfId="32563"/>
    <cellStyle name="注释 2 10 2 6" xfId="32564"/>
    <cellStyle name="注释 2 10 3" xfId="32565"/>
    <cellStyle name="注释 2 10 4" xfId="32566"/>
    <cellStyle name="注释 2 10 5" xfId="32567"/>
    <cellStyle name="注释 2 10 6" xfId="32568"/>
    <cellStyle name="注释 2 10 7" xfId="32569"/>
    <cellStyle name="注释 2 11" xfId="32570"/>
    <cellStyle name="注释 2 11 2" xfId="32571"/>
    <cellStyle name="注释 2 11 3" xfId="32572"/>
    <cellStyle name="注释 2 11 4" xfId="32573"/>
    <cellStyle name="注释 2 11 5" xfId="32574"/>
    <cellStyle name="注释 2 11 6" xfId="32575"/>
    <cellStyle name="注释 2 12" xfId="32576"/>
    <cellStyle name="注释 2 13" xfId="32577"/>
    <cellStyle name="注释 2 14" xfId="32578"/>
    <cellStyle name="注释 2 15" xfId="32579"/>
    <cellStyle name="注释 2 16" xfId="32580"/>
    <cellStyle name="注释 2 2" xfId="32581"/>
    <cellStyle name="注释 2 2 10" xfId="32582"/>
    <cellStyle name="注释 2 2 11" xfId="32583"/>
    <cellStyle name="注释 2 2 12" xfId="32584"/>
    <cellStyle name="注释 2 2 13" xfId="32585"/>
    <cellStyle name="注释 2 2 14" xfId="32586"/>
    <cellStyle name="注释 2 2 2" xfId="32587"/>
    <cellStyle name="注释 2 2 2 10" xfId="32588"/>
    <cellStyle name="注释 2 2 2 11" xfId="32589"/>
    <cellStyle name="注释 2 2 2 2" xfId="32590"/>
    <cellStyle name="注释 2 2 2 2 2" xfId="32591"/>
    <cellStyle name="注释 2 2 2 2 2 2" xfId="32592"/>
    <cellStyle name="注释 2 2 2 2 2 2 2" xfId="32593"/>
    <cellStyle name="注释 2 2 2 2 2 3" xfId="32594"/>
    <cellStyle name="注释 2 2 2 2 3" xfId="32595"/>
    <cellStyle name="注释 2 2 2 2 3 2" xfId="32596"/>
    <cellStyle name="注释 2 2 2 2 4" xfId="32597"/>
    <cellStyle name="注释 2 2 2 3" xfId="32598"/>
    <cellStyle name="注释 2 2 2 3 2" xfId="32599"/>
    <cellStyle name="注释 2 2 2 3 2 2" xfId="32600"/>
    <cellStyle name="注释 2 2 2 3 3" xfId="32601"/>
    <cellStyle name="注释 2 2 2 4" xfId="32602"/>
    <cellStyle name="注释 2 2 2 4 2" xfId="32603"/>
    <cellStyle name="注释 2 2 2 4 2 2" xfId="32604"/>
    <cellStyle name="注释 2 2 2 4 3" xfId="32605"/>
    <cellStyle name="注释 2 2 2 5" xfId="32606"/>
    <cellStyle name="注释 2 2 2 5 2" xfId="32607"/>
    <cellStyle name="注释 2 2 2 5 2 2" xfId="32608"/>
    <cellStyle name="注释 2 2 2 5 3" xfId="32609"/>
    <cellStyle name="注释 2 2 2 6" xfId="32610"/>
    <cellStyle name="注释 2 2 2 6 2" xfId="32611"/>
    <cellStyle name="注释 2 2 2 6 3" xfId="32612"/>
    <cellStyle name="注释 2 2 2 6 4" xfId="32613"/>
    <cellStyle name="注释 2 2 2 6 5" xfId="32614"/>
    <cellStyle name="注释 2 2 2 6 6" xfId="32615"/>
    <cellStyle name="注释 2 2 2 7" xfId="32616"/>
    <cellStyle name="注释 2 2 2 8" xfId="32617"/>
    <cellStyle name="注释 2 2 2 9" xfId="32618"/>
    <cellStyle name="注释 2 2 3" xfId="32619"/>
    <cellStyle name="注释 2 2 3 2" xfId="32620"/>
    <cellStyle name="注释 2 2 3 2 2" xfId="32621"/>
    <cellStyle name="注释 2 2 3 2 2 2" xfId="32622"/>
    <cellStyle name="注释 2 2 3 2 3" xfId="32623"/>
    <cellStyle name="注释 2 2 3 3" xfId="32624"/>
    <cellStyle name="注释 2 2 3 3 2" xfId="32625"/>
    <cellStyle name="注释 2 2 3 3 2 2" xfId="32626"/>
    <cellStyle name="注释 2 2 3 3 3" xfId="32627"/>
    <cellStyle name="注释 2 2 3 4" xfId="32628"/>
    <cellStyle name="注释 2 2 3 4 2" xfId="32629"/>
    <cellStyle name="注释 2 2 3 5" xfId="32630"/>
    <cellStyle name="注释 2 2 4" xfId="32631"/>
    <cellStyle name="注释 2 2 4 2" xfId="32632"/>
    <cellStyle name="注释 2 2 4 2 2" xfId="32633"/>
    <cellStyle name="注释 2 2 4 2 2 2" xfId="32634"/>
    <cellStyle name="注释 2 2 4 2 3" xfId="32635"/>
    <cellStyle name="注释 2 2 4 3" xfId="32636"/>
    <cellStyle name="注释 2 2 4 3 2" xfId="32637"/>
    <cellStyle name="注释 2 2 4 4" xfId="32638"/>
    <cellStyle name="注释 2 2 5" xfId="32639"/>
    <cellStyle name="注释 2 2 5 2" xfId="32640"/>
    <cellStyle name="注释 2 2 5 2 2" xfId="32641"/>
    <cellStyle name="注释 2 2 5 3" xfId="32642"/>
    <cellStyle name="注释 2 2 6" xfId="32643"/>
    <cellStyle name="注释 2 2 6 2" xfId="32644"/>
    <cellStyle name="注释 2 2 6 2 2" xfId="32645"/>
    <cellStyle name="注释 2 2 6 3" xfId="32646"/>
    <cellStyle name="注释 2 2 7" xfId="32647"/>
    <cellStyle name="注释 2 2 7 2" xfId="32648"/>
    <cellStyle name="注释 2 2 7 2 2" xfId="32649"/>
    <cellStyle name="注释 2 2 7 3" xfId="32650"/>
    <cellStyle name="注释 2 2 8" xfId="32651"/>
    <cellStyle name="注释 2 2 8 2" xfId="32652"/>
    <cellStyle name="注释 2 2 8 2 2" xfId="32653"/>
    <cellStyle name="注释 2 2 8 2 3" xfId="32654"/>
    <cellStyle name="注释 2 2 8 2 4" xfId="32655"/>
    <cellStyle name="注释 2 2 8 2 5" xfId="32656"/>
    <cellStyle name="注释 2 2 8 2 6" xfId="32657"/>
    <cellStyle name="注释 2 2 8 3" xfId="32658"/>
    <cellStyle name="注释 2 2 8 4" xfId="32659"/>
    <cellStyle name="注释 2 2 8 5" xfId="32660"/>
    <cellStyle name="注释 2 2 8 6" xfId="32661"/>
    <cellStyle name="注释 2 2 8 7" xfId="32662"/>
    <cellStyle name="注释 2 2 9" xfId="32663"/>
    <cellStyle name="注释 2 2 9 2" xfId="32664"/>
    <cellStyle name="注释 2 2 9 3" xfId="32665"/>
    <cellStyle name="注释 2 2 9 4" xfId="32666"/>
    <cellStyle name="注释 2 2 9 5" xfId="32667"/>
    <cellStyle name="注释 2 2 9 6" xfId="32668"/>
    <cellStyle name="注释 2 3" xfId="32669"/>
    <cellStyle name="注释 2 3 10" xfId="32670"/>
    <cellStyle name="注释 2 3 11" xfId="32671"/>
    <cellStyle name="注释 2 3 2" xfId="32672"/>
    <cellStyle name="注释 2 3 2 2" xfId="32673"/>
    <cellStyle name="注释 2 3 2 2 2" xfId="32674"/>
    <cellStyle name="注释 2 3 2 2 2 2" xfId="32675"/>
    <cellStyle name="注释 2 3 2 2 3" xfId="32676"/>
    <cellStyle name="注释 2 3 2 3" xfId="32677"/>
    <cellStyle name="注释 2 3 2 3 2" xfId="32678"/>
    <cellStyle name="注释 2 3 2 4" xfId="32679"/>
    <cellStyle name="注释 2 3 3" xfId="32680"/>
    <cellStyle name="注释 2 3 3 2" xfId="32681"/>
    <cellStyle name="注释 2 3 3 2 2" xfId="32682"/>
    <cellStyle name="注释 2 3 3 3" xfId="32683"/>
    <cellStyle name="注释 2 3 4" xfId="32684"/>
    <cellStyle name="注释 2 3 4 2" xfId="32685"/>
    <cellStyle name="注释 2 3 4 2 2" xfId="32686"/>
    <cellStyle name="注释 2 3 4 3" xfId="32687"/>
    <cellStyle name="注释 2 3 5" xfId="32688"/>
    <cellStyle name="注释 2 3 5 2" xfId="32689"/>
    <cellStyle name="注释 2 3 5 2 2" xfId="32690"/>
    <cellStyle name="注释 2 3 5 3" xfId="32691"/>
    <cellStyle name="注释 2 3 6" xfId="32692"/>
    <cellStyle name="注释 2 3 6 2" xfId="32693"/>
    <cellStyle name="注释 2 3 6 3" xfId="32694"/>
    <cellStyle name="注释 2 3 6 4" xfId="32695"/>
    <cellStyle name="注释 2 3 6 5" xfId="32696"/>
    <cellStyle name="注释 2 3 6 6" xfId="32697"/>
    <cellStyle name="注释 2 3 7" xfId="32698"/>
    <cellStyle name="注释 2 3 8" xfId="32699"/>
    <cellStyle name="注释 2 3 9" xfId="32700"/>
    <cellStyle name="注释 2 4" xfId="32701"/>
    <cellStyle name="注释 2 4 2" xfId="32702"/>
    <cellStyle name="注释 2 4 2 2" xfId="32703"/>
    <cellStyle name="注释 2 4 2 2 2" xfId="32704"/>
    <cellStyle name="注释 2 4 2 3" xfId="32705"/>
    <cellStyle name="注释 2 4 3" xfId="32706"/>
    <cellStyle name="注释 2 4 3 2" xfId="32707"/>
    <cellStyle name="注释 2 4 3 2 2" xfId="32708"/>
    <cellStyle name="注释 2 4 3 3" xfId="32709"/>
    <cellStyle name="注释 2 4 4" xfId="32710"/>
    <cellStyle name="注释 2 4 4 2" xfId="32711"/>
    <cellStyle name="注释 2 4 5" xfId="32712"/>
    <cellStyle name="注释 2 4 6" xfId="32713"/>
    <cellStyle name="注释 2 5" xfId="32714"/>
    <cellStyle name="注释 2 5 2" xfId="32715"/>
    <cellStyle name="注释 2 5 2 2" xfId="32716"/>
    <cellStyle name="注释 2 5 2 2 2" xfId="32717"/>
    <cellStyle name="注释 2 5 2 3" xfId="32718"/>
    <cellStyle name="注释 2 5 3" xfId="32719"/>
    <cellStyle name="注释 2 5 3 2" xfId="32720"/>
    <cellStyle name="注释 2 5 4" xfId="32721"/>
    <cellStyle name="注释 2 6" xfId="32722"/>
    <cellStyle name="注释 2 6 2" xfId="32723"/>
    <cellStyle name="注释 2 6 2 2" xfId="32724"/>
    <cellStyle name="注释 2 6 3" xfId="32725"/>
    <cellStyle name="注释 2 7" xfId="32726"/>
    <cellStyle name="注释 2 7 2" xfId="32727"/>
    <cellStyle name="注释 2 7 2 2" xfId="32728"/>
    <cellStyle name="注释 2 7 3" xfId="32729"/>
    <cellStyle name="注释 2 8" xfId="32730"/>
    <cellStyle name="注释 2 8 2" xfId="32731"/>
    <cellStyle name="注释 2 8 2 2" xfId="32732"/>
    <cellStyle name="注释 2 8 3" xfId="32733"/>
    <cellStyle name="注释 2 9" xfId="32734"/>
    <cellStyle name="注释 2 9 2" xfId="32735"/>
    <cellStyle name="注释 2 9 2 2" xfId="32736"/>
    <cellStyle name="注释 2 9 2 3" xfId="32737"/>
    <cellStyle name="注释 2 9 2 4" xfId="32738"/>
    <cellStyle name="注释 2 9 2 5" xfId="32739"/>
    <cellStyle name="注释 2 9 2 6" xfId="32740"/>
    <cellStyle name="注释 2 9 3" xfId="32741"/>
    <cellStyle name="注释 2 9 4" xfId="32742"/>
    <cellStyle name="注释 2 9 5" xfId="32743"/>
    <cellStyle name="注释 2 9 6" xfId="32744"/>
    <cellStyle name="注释 2 9 7" xfId="32745"/>
    <cellStyle name="注释 3" xfId="32746"/>
    <cellStyle name="注释 3 10" xfId="32747"/>
    <cellStyle name="注释 3 11" xfId="32748"/>
    <cellStyle name="注释 3 12" xfId="32749"/>
    <cellStyle name="注释 3 13" xfId="32750"/>
    <cellStyle name="注释 3 14" xfId="32751"/>
    <cellStyle name="注释 3 2" xfId="32752"/>
    <cellStyle name="注释 3 2 2" xfId="32753"/>
    <cellStyle name="注释 3 2 2 2" xfId="32754"/>
    <cellStyle name="注释 3 2 2 2 2" xfId="32755"/>
    <cellStyle name="注释 3 2 2 2 2 2" xfId="32756"/>
    <cellStyle name="注释 3 2 2 2 3" xfId="32757"/>
    <cellStyle name="注释 3 2 2 3" xfId="32758"/>
    <cellStyle name="注释 3 2 2 3 2" xfId="32759"/>
    <cellStyle name="注释 3 2 2 4" xfId="32760"/>
    <cellStyle name="注释 3 2 3" xfId="32761"/>
    <cellStyle name="注释 3 2 3 2" xfId="32762"/>
    <cellStyle name="注释 3 2 3 2 2" xfId="32763"/>
    <cellStyle name="注释 3 2 3 3" xfId="32764"/>
    <cellStyle name="注释 3 2 4" xfId="32765"/>
    <cellStyle name="注释 3 2 4 2" xfId="32766"/>
    <cellStyle name="注释 3 2 4 2 2" xfId="32767"/>
    <cellStyle name="注释 3 2 4 3" xfId="32768"/>
    <cellStyle name="注释 3 2 5" xfId="32769"/>
    <cellStyle name="注释 3 2 5 2" xfId="32770"/>
    <cellStyle name="注释 3 2 6" xfId="32771"/>
    <cellStyle name="注释 3 2 7" xfId="32772"/>
    <cellStyle name="注释 3 3" xfId="32773"/>
    <cellStyle name="注释 3 3 2" xfId="32774"/>
    <cellStyle name="注释 3 3 2 2" xfId="32775"/>
    <cellStyle name="注释 3 3 2 2 2" xfId="32776"/>
    <cellStyle name="注释 3 3 2 3" xfId="32777"/>
    <cellStyle name="注释 3 3 3" xfId="32778"/>
    <cellStyle name="注释 3 3 3 2" xfId="32779"/>
    <cellStyle name="注释 3 3 3 2 2" xfId="32780"/>
    <cellStyle name="注释 3 3 3 3" xfId="32781"/>
    <cellStyle name="注释 3 3 4" xfId="32782"/>
    <cellStyle name="注释 3 3 4 2" xfId="32783"/>
    <cellStyle name="注释 3 3 5" xfId="32784"/>
    <cellStyle name="注释 3 3 6" xfId="32785"/>
    <cellStyle name="注释 3 4" xfId="32786"/>
    <cellStyle name="注释 3 4 2" xfId="32787"/>
    <cellStyle name="注释 3 4 2 2" xfId="32788"/>
    <cellStyle name="注释 3 4 2 2 2" xfId="32789"/>
    <cellStyle name="注释 3 4 2 3" xfId="32790"/>
    <cellStyle name="注释 3 4 3" xfId="32791"/>
    <cellStyle name="注释 3 4 3 2" xfId="32792"/>
    <cellStyle name="注释 3 4 4" xfId="32793"/>
    <cellStyle name="注释 3 4 5" xfId="32794"/>
    <cellStyle name="注释 3 5" xfId="32795"/>
    <cellStyle name="注释 3 5 2" xfId="32796"/>
    <cellStyle name="注释 3 5 2 2" xfId="32797"/>
    <cellStyle name="注释 3 5 3" xfId="32798"/>
    <cellStyle name="注释 3 6" xfId="32799"/>
    <cellStyle name="注释 3 6 2" xfId="32800"/>
    <cellStyle name="注释 3 6 2 2" xfId="32801"/>
    <cellStyle name="注释 3 6 3" xfId="32802"/>
    <cellStyle name="注释 3 7" xfId="32803"/>
    <cellStyle name="注释 3 7 2" xfId="32804"/>
    <cellStyle name="注释 3 7 2 2" xfId="32805"/>
    <cellStyle name="注释 3 7 3" xfId="32806"/>
    <cellStyle name="注释 3 8" xfId="32807"/>
    <cellStyle name="注释 3 8 2" xfId="32808"/>
    <cellStyle name="注释 3 8 2 2" xfId="32809"/>
    <cellStyle name="注释 3 8 2 3" xfId="32810"/>
    <cellStyle name="注释 3 8 2 4" xfId="32811"/>
    <cellStyle name="注释 3 8 2 5" xfId="32812"/>
    <cellStyle name="注释 3 8 2 6" xfId="32813"/>
    <cellStyle name="注释 3 8 3" xfId="32814"/>
    <cellStyle name="注释 3 8 4" xfId="32815"/>
    <cellStyle name="注释 3 8 5" xfId="32816"/>
    <cellStyle name="注释 3 8 6" xfId="32817"/>
    <cellStyle name="注释 3 8 7" xfId="32818"/>
    <cellStyle name="注释 3 9" xfId="32819"/>
    <cellStyle name="注释 3 9 2" xfId="32820"/>
    <cellStyle name="注释 3 9 3" xfId="32821"/>
    <cellStyle name="注释 3 9 4" xfId="32822"/>
    <cellStyle name="注释 3 9 5" xfId="32823"/>
    <cellStyle name="注释 3 9 6" xfId="32824"/>
    <cellStyle name="注释 4" xfId="32825"/>
    <cellStyle name="注释 4 2" xfId="32826"/>
    <cellStyle name="注释 4 2 2" xfId="32827"/>
    <cellStyle name="注释 4 2 3" xfId="32828"/>
    <cellStyle name="注释 4 2 4" xfId="32829"/>
    <cellStyle name="注释 4 2 5" xfId="32830"/>
    <cellStyle name="注释 4 2 6" xfId="32831"/>
    <cellStyle name="注释 4 3" xfId="32832"/>
    <cellStyle name="注释 4 4" xfId="32833"/>
    <cellStyle name="注释 4 5" xfId="32834"/>
    <cellStyle name="注释 4 6" xfId="32835"/>
    <cellStyle name="注释 4 7" xfId="32836"/>
    <cellStyle name="注释 5" xfId="32837"/>
    <cellStyle name="常规 4 12 2 3" xfId="32838"/>
    <cellStyle name="常规 112" xfId="32839"/>
    <cellStyle name="常规 2 11 2 3" xfId="32840"/>
    <cellStyle name="常规 2 11 3 3 2" xfId="32841"/>
    <cellStyle name="20% - 强调文字颜色 1 13" xfId="32842"/>
    <cellStyle name="20% - 强调文字颜色 2 13" xfId="32843"/>
    <cellStyle name="20% - 强调文字颜色 3 13" xfId="32844"/>
    <cellStyle name="20% - 强调文字颜色 4 13" xfId="32845"/>
    <cellStyle name="20% - 强调文字颜色 5 13" xfId="32846"/>
    <cellStyle name="20% - 强调文字颜色 6 13" xfId="32847"/>
    <cellStyle name="40% - 强调文字颜色 1 13" xfId="32848"/>
    <cellStyle name="40% - 强调文字颜色 2 13" xfId="32849"/>
    <cellStyle name="40% - 强调文字颜色 3 13" xfId="32850"/>
    <cellStyle name="40% - 强调文字颜色 4 13" xfId="32851"/>
    <cellStyle name="40% - 强调文字颜色 5 13" xfId="32852"/>
    <cellStyle name="40% - 强调文字颜色 6 13" xfId="32853"/>
    <cellStyle name="60% - 强调文字颜色 1 3" xfId="32854"/>
    <cellStyle name="60% - 强调文字颜色 2 3" xfId="32855"/>
    <cellStyle name="60% - 强调文字颜色 3 3" xfId="32856"/>
    <cellStyle name="60% - 强调文字颜色 4 3" xfId="32857"/>
    <cellStyle name="60% - 强调文字颜色 5 3" xfId="32858"/>
    <cellStyle name="60% - 强调文字颜色 6 3" xfId="32859"/>
    <cellStyle name="Normal 2 11 2" xfId="32860"/>
    <cellStyle name="Normal 2 15" xfId="32861"/>
    <cellStyle name="Normal 2 2 11" xfId="32862"/>
    <cellStyle name="Normal 2 2 2 2 2 4 2" xfId="32863"/>
    <cellStyle name="Normal 2 2 2 2 5 2" xfId="32864"/>
    <cellStyle name="Normal 2 2 2 3 4 2" xfId="32865"/>
    <cellStyle name="Normal 2 2 2 6 2" xfId="32866"/>
    <cellStyle name="Normal 2 2 2 8" xfId="32867"/>
    <cellStyle name="Normal 2 2 3 2 4 2" xfId="32868"/>
    <cellStyle name="Normal 2 2 3 3 4 2" xfId="32869"/>
    <cellStyle name="Normal 2 2 3 6 2" xfId="32870"/>
    <cellStyle name="Normal 2 2 4 4 2" xfId="32871"/>
    <cellStyle name="Normal 2 2 5 4 2" xfId="32872"/>
    <cellStyle name="Normal 2 2 8 2" xfId="32873"/>
    <cellStyle name="Normal 2 3 11" xfId="32874"/>
    <cellStyle name="Normal 2 3 2 2 2 4 2" xfId="32875"/>
    <cellStyle name="Normal 2 3 2 2 5 2" xfId="32876"/>
    <cellStyle name="Normal 2 3 2 3 4 2" xfId="32877"/>
    <cellStyle name="Normal 2 3 2 6 2" xfId="32878"/>
    <cellStyle name="Normal 2 3 3 2 4 2" xfId="32879"/>
    <cellStyle name="Normal 2 3 3 3 4 2" xfId="32880"/>
    <cellStyle name="Normal 2 3 3 6 2" xfId="32881"/>
    <cellStyle name="Normal 2 3 4 4 2" xfId="32882"/>
    <cellStyle name="Normal 2 3 5 4 2" xfId="32883"/>
    <cellStyle name="Normal 2 3 8 2" xfId="32884"/>
    <cellStyle name="Normal 2 4 2 2 2 4 2" xfId="32885"/>
    <cellStyle name="Normal 2 4 2 2 5 2" xfId="32886"/>
    <cellStyle name="Normal 2 4 2 3 4 2" xfId="32887"/>
    <cellStyle name="Normal 2 4 2 6 2" xfId="32888"/>
    <cellStyle name="Normal 2 4 3 2 4 2" xfId="32889"/>
    <cellStyle name="Normal 2 4 3 3 4 2" xfId="32890"/>
    <cellStyle name="Normal 2 4 3 6 2" xfId="32891"/>
    <cellStyle name="Normal 2 4 4 4 2" xfId="32892"/>
    <cellStyle name="Normal 2 4 5 4 2" xfId="32893"/>
    <cellStyle name="Normal 2 4 8 2" xfId="32894"/>
    <cellStyle name="Normal 2 5 2 2 4 2" xfId="32895"/>
    <cellStyle name="Normal 2 5 2 5 2" xfId="32896"/>
    <cellStyle name="Normal 2 5 3 4 2" xfId="32897"/>
    <cellStyle name="Normal 2 5 6 2" xfId="32898"/>
    <cellStyle name="Normal 2 6 2 4 2" xfId="32899"/>
    <cellStyle name="Normal 2 6 3 4 2" xfId="32900"/>
    <cellStyle name="Normal 2 6 6 2" xfId="32901"/>
    <cellStyle name="Normal 2 7 4 12" xfId="32902"/>
    <cellStyle name="Normal 2 8 4 2" xfId="32903"/>
    <cellStyle name="Normal 3 14" xfId="32904"/>
    <cellStyle name="Normal 3 2 11" xfId="32905"/>
    <cellStyle name="Normal 3 2 2 2 2 4 2" xfId="32906"/>
    <cellStyle name="Normal 3 2 2 2 5 2" xfId="32907"/>
    <cellStyle name="Normal 3 2 2 3 4 2" xfId="32908"/>
    <cellStyle name="Normal 3 2 2 6 2" xfId="32909"/>
    <cellStyle name="Normal 3 2 2 8" xfId="32910"/>
    <cellStyle name="Normal 3 2 3 2 4 2" xfId="32911"/>
    <cellStyle name="Normal 3 2 3 3 4 2" xfId="32912"/>
    <cellStyle name="Normal 3 2 3 6 2" xfId="32913"/>
    <cellStyle name="Normal 3 2 4 4 2" xfId="32914"/>
    <cellStyle name="Normal 3 2 5 4 2" xfId="32915"/>
    <cellStyle name="Normal 3 2 8 2" xfId="32916"/>
    <cellStyle name="Normal 3 3 2 2 4 2" xfId="32917"/>
    <cellStyle name="Normal 3 3 2 3 4 2" xfId="32918"/>
    <cellStyle name="Normal 3 3 2 6 2" xfId="32919"/>
    <cellStyle name="Normal 3 3 3 4 2" xfId="32920"/>
    <cellStyle name="Normal 3 3 4 4 2" xfId="32921"/>
    <cellStyle name="Normal 3 3 7 2" xfId="32922"/>
    <cellStyle name="Normal 3 3 9" xfId="32923"/>
    <cellStyle name="Normal 3 4 2 4 2" xfId="32924"/>
    <cellStyle name="Normal 3 4 3 4 2" xfId="32925"/>
    <cellStyle name="Normal 3 4 6 2" xfId="32926"/>
    <cellStyle name="Normal 3 5 4 2" xfId="32927"/>
    <cellStyle name="Normal 3 6 4 2" xfId="32928"/>
    <cellStyle name="Normal 3 9 2" xfId="32929"/>
    <cellStyle name="Normal 4 2 2" xfId="32930"/>
    <cellStyle name="Normal 4 4" xfId="32931"/>
    <cellStyle name="Normal 5 3" xfId="32932"/>
    <cellStyle name="Normal 7" xfId="32933"/>
    <cellStyle name="XLConnect.Numeric 10 4 2" xfId="32934"/>
    <cellStyle name="XLConnect.Numeric 13 2" xfId="32935"/>
    <cellStyle name="XLConnect.Numeric 2 2 2 2 4 2" xfId="32936"/>
    <cellStyle name="XLConnect.Numeric 2 2 2 5 3" xfId="32937"/>
    <cellStyle name="XLConnect.Numeric 2 2 3 4 2" xfId="32938"/>
    <cellStyle name="XLConnect.Numeric 2 2 6 3" xfId="32939"/>
    <cellStyle name="XLConnect.Numeric 2 3 2 4 3" xfId="32940"/>
    <cellStyle name="XLConnect.Numeric 2 3 3 4 2" xfId="32941"/>
    <cellStyle name="XLConnect.Numeric 2 3 6 3" xfId="32942"/>
    <cellStyle name="XLConnect.Numeric 2 4 4 3" xfId="32943"/>
    <cellStyle name="XLConnect.Numeric 2 5 4 2" xfId="32944"/>
    <cellStyle name="XLConnect.Numeric 2 8 3" xfId="32945"/>
    <cellStyle name="XLConnect.Numeric 3 2 2 2 4 2" xfId="32946"/>
    <cellStyle name="XLConnect.Numeric 3 2 2 5 2" xfId="32947"/>
    <cellStyle name="XLConnect.Numeric 3 2 3 4 2" xfId="32948"/>
    <cellStyle name="XLConnect.Numeric 3 2 6 3" xfId="32949"/>
    <cellStyle name="XLConnect.Numeric 3 3 2 4 2" xfId="32950"/>
    <cellStyle name="XLConnect.Numeric 3 3 5 2" xfId="32951"/>
    <cellStyle name="XLConnect.Numeric 3 4 4 2" xfId="32952"/>
    <cellStyle name="XLConnect.Numeric 3 7 3" xfId="32953"/>
    <cellStyle name="XLConnect.Numeric 4 2 2 4 2" xfId="32954"/>
    <cellStyle name="XLConnect.Numeric 4 2 5 2" xfId="32955"/>
    <cellStyle name="XLConnect.Numeric 4 3 4 2" xfId="32956"/>
    <cellStyle name="XLConnect.Numeric 4 6 2" xfId="32957"/>
    <cellStyle name="XLConnect.Numeric 5 2 4 2" xfId="32958"/>
    <cellStyle name="XLConnect.Numeric 5 3 4 2" xfId="32959"/>
    <cellStyle name="XLConnect.Numeric 5 6 2" xfId="32960"/>
    <cellStyle name="XLConnect.Numeric 6 2 4 2" xfId="32961"/>
    <cellStyle name="XLConnect.Numeric 6 5 3" xfId="32962"/>
    <cellStyle name="XLConnect.Numeric 7 2 4 2" xfId="32963"/>
    <cellStyle name="XLConnect.Numeric 7 5 2" xfId="32964"/>
    <cellStyle name="XLConnect.Numeric 8 4 2" xfId="32965"/>
    <cellStyle name="XLConnect.Numeric 9 4 2" xfId="32966"/>
    <cellStyle name="百分比 10 2 2 2 4 2" xfId="32967"/>
    <cellStyle name="百分比 10 2 2 3 4 2" xfId="32968"/>
    <cellStyle name="百分比 10 2 2 6 2" xfId="32969"/>
    <cellStyle name="百分比 10 2 3 4 2" xfId="32970"/>
    <cellStyle name="百分比 10 2 4 4 2" xfId="32971"/>
    <cellStyle name="百分比 10 2 7 2" xfId="32972"/>
    <cellStyle name="百分比 10 3 2 4 2" xfId="32973"/>
    <cellStyle name="百分比 10 3 3 4 2" xfId="32974"/>
    <cellStyle name="百分比 10 3 6 2" xfId="32975"/>
    <cellStyle name="百分比 10 4 4 2" xfId="32976"/>
    <cellStyle name="百分比 10 5 4 2" xfId="32977"/>
    <cellStyle name="百分比 10 8 2" xfId="32978"/>
    <cellStyle name="百分比 14 2 4 2" xfId="32979"/>
    <cellStyle name="百分比 14 5 2" xfId="32980"/>
    <cellStyle name="百分比 18 2" xfId="32981"/>
    <cellStyle name="百分比 2 10 2 4 2" xfId="32982"/>
    <cellStyle name="百分比 2 10 5 2" xfId="32983"/>
    <cellStyle name="百分比 2 12 4 2" xfId="32984"/>
    <cellStyle name="百分比 2 13 4 2" xfId="32985"/>
    <cellStyle name="百分比 2 2 10 4 2" xfId="32986"/>
    <cellStyle name="百分比 2 2 11 4 2" xfId="32987"/>
    <cellStyle name="百分比 2 2 14 2" xfId="32988"/>
    <cellStyle name="百分比 2 2 2 10 2" xfId="32989"/>
    <cellStyle name="百分比 2 2 2 2 2 2 2 4 2" xfId="32990"/>
    <cellStyle name="百分比 2 2 2 2 2 2 3 4 2" xfId="32991"/>
    <cellStyle name="百分比 2 2 2 2 2 2 6 2" xfId="32992"/>
    <cellStyle name="百分比 2 2 2 2 2 3 4 2" xfId="32993"/>
    <cellStyle name="百分比 2 2 2 2 2 4 4 2" xfId="32994"/>
    <cellStyle name="百分比 2 2 2 2 2 7 2" xfId="32995"/>
    <cellStyle name="百分比 2 2 2 2 3 2 4 2" xfId="32996"/>
    <cellStyle name="百分比 2 2 2 2 3 3 4 2" xfId="32997"/>
    <cellStyle name="百分比 2 2 2 2 3 6 2" xfId="32998"/>
    <cellStyle name="百分比 2 2 2 2 4 4 2" xfId="32999"/>
    <cellStyle name="百分比 2 2 2 2 5 4 2" xfId="33000"/>
    <cellStyle name="百分比 2 2 2 2 8 2" xfId="33001"/>
    <cellStyle name="百分比 2 2 2 3 2 2 2 4 2" xfId="33002"/>
    <cellStyle name="百分比 2 2 2 3 2 2 5 2" xfId="33003"/>
    <cellStyle name="百分比 2 2 2 3 2 3 4 2" xfId="33004"/>
    <cellStyle name="百分比 2 2 2 3 2 6 2" xfId="33005"/>
    <cellStyle name="百分比 2 2 2 3 3 2 4 2" xfId="33006"/>
    <cellStyle name="百分比 2 2 2 3 3 3 4 2" xfId="33007"/>
    <cellStyle name="百分比 2 2 2 3 3 6 2" xfId="33008"/>
    <cellStyle name="百分比 2 2 2 3 4 4 2" xfId="33009"/>
    <cellStyle name="百分比 2 2 2 3 5 4 2" xfId="33010"/>
    <cellStyle name="百分比 2 2 2 3 8 2" xfId="33011"/>
    <cellStyle name="百分比 2 2 2 4 2 2 4 2" xfId="33012"/>
    <cellStyle name="百分比 2 2 2 4 2 3 4 2" xfId="33013"/>
    <cellStyle name="百分比 2 2 2 4 2 6 2" xfId="33014"/>
    <cellStyle name="百分比 2 2 2 4 3 4 2" xfId="33015"/>
    <cellStyle name="百分比 2 2 2 4 4 4 2" xfId="33016"/>
    <cellStyle name="百分比 2 2 2 4 7 2" xfId="33017"/>
    <cellStyle name="百分比 2 2 2 5 2 2 4 2" xfId="33018"/>
    <cellStyle name="百分比 2 2 2 5 2 5 2" xfId="33019"/>
    <cellStyle name="百分比 2 2 2 5 3 4 2" xfId="33020"/>
    <cellStyle name="百分比 2 2 2 5 6 2" xfId="33021"/>
    <cellStyle name="百分比 2 2 2 6 2 4 2" xfId="33022"/>
    <cellStyle name="百分比 2 2 2 6 5 2" xfId="33023"/>
    <cellStyle name="百分比 2 2 2 7 4 2" xfId="33024"/>
    <cellStyle name="百分比 2 2 3 2 2 2 2 4 2" xfId="33025"/>
    <cellStyle name="百分比 2 2 3 2 2 2 5 2" xfId="33026"/>
    <cellStyle name="百分比 2 2 3 2 2 3 4 2" xfId="33027"/>
    <cellStyle name="百分比 2 2 3 2 2 6 2" xfId="33028"/>
    <cellStyle name="百分比 2 2 3 2 3 2 4 2" xfId="33029"/>
    <cellStyle name="百分比 2 2 3 2 3 3 4 2" xfId="33030"/>
    <cellStyle name="百分比 2 2 3 2 3 6 2" xfId="33031"/>
    <cellStyle name="百分比 2 2 3 2 4 4 2" xfId="33032"/>
    <cellStyle name="百分比 2 2 3 2 5 4 2" xfId="33033"/>
    <cellStyle name="百分比 2 2 3 2 8 2" xfId="33034"/>
    <cellStyle name="百分比 2 2 3 3 2 2 4 2" xfId="33035"/>
    <cellStyle name="百分比 2 2 3 3 2 3 4 2" xfId="33036"/>
    <cellStyle name="百分比 2 2 3 3 2 6 2" xfId="33037"/>
    <cellStyle name="百分比 2 2 3 3 3 4 2" xfId="33038"/>
    <cellStyle name="百分比 2 2 3 3 4 4 2" xfId="33039"/>
    <cellStyle name="百分比 2 2 3 3 7 2" xfId="33040"/>
    <cellStyle name="百分比 2 2 3 4 2 4 2" xfId="33041"/>
    <cellStyle name="百分比 2 2 3 4 3 4 2" xfId="33042"/>
    <cellStyle name="百分比 2 2 3 4 6 2" xfId="33043"/>
    <cellStyle name="百分比 2 2 3 5 4 2" xfId="33044"/>
    <cellStyle name="百分比 2 2 3 6 4 2" xfId="33045"/>
    <cellStyle name="百分比 2 2 3 9 2" xfId="33046"/>
    <cellStyle name="百分比 2 2 4 2 2 2 4 2" xfId="33047"/>
    <cellStyle name="百分比 2 2 4 2 2 3 4 2" xfId="33048"/>
    <cellStyle name="百分比 2 2 4 2 2 6 2" xfId="33049"/>
    <cellStyle name="百分比 2 2 4 2 3 4 2" xfId="33050"/>
    <cellStyle name="百分比 2 2 4 2 4 4 2" xfId="33051"/>
    <cellStyle name="百分比 2 2 4 2 7 2" xfId="33052"/>
    <cellStyle name="百分比 2 2 4 3 2 4 2" xfId="33053"/>
    <cellStyle name="百分比 2 2 4 3 3 4 2" xfId="33054"/>
    <cellStyle name="百分比 2 2 4 3 6 2" xfId="33055"/>
    <cellStyle name="百分比 2 2 4 4 4 2" xfId="33056"/>
    <cellStyle name="百分比 2 2 4 5 4 2" xfId="33057"/>
    <cellStyle name="百分比 2 2 4 8 2" xfId="33058"/>
    <cellStyle name="百分比 2 2 5 2 2 2 4 2" xfId="33059"/>
    <cellStyle name="百分比 2 2 5 2 2 5 2" xfId="33060"/>
    <cellStyle name="百分比 2 2 5 2 3 4 2" xfId="33061"/>
    <cellStyle name="百分比 2 2 5 2 6 2" xfId="33062"/>
    <cellStyle name="百分比 2 2 5 3 2 4 2" xfId="33063"/>
    <cellStyle name="百分比 2 2 5 3 3 4 2" xfId="33064"/>
    <cellStyle name="百分比 2 2 5 3 6 2" xfId="33065"/>
    <cellStyle name="百分比 2 2 5 4 4 2" xfId="33066"/>
    <cellStyle name="百分比 2 2 5 5 4 2" xfId="33067"/>
    <cellStyle name="百分比 2 2 5 8 2" xfId="33068"/>
    <cellStyle name="百分比 2 2 6 2 2 4 2" xfId="33069"/>
    <cellStyle name="百分比 2 2 6 2 3 4 2" xfId="33070"/>
    <cellStyle name="百分比 2 2 6 2 6 2" xfId="33071"/>
    <cellStyle name="百分比 2 2 6 3 4 2" xfId="33072"/>
    <cellStyle name="百分比 2 2 6 4 4 2" xfId="33073"/>
    <cellStyle name="百分比 2 2 6 7 2" xfId="33074"/>
    <cellStyle name="百分比 2 2 7 2 2 4 2" xfId="33075"/>
    <cellStyle name="百分比 2 2 7 2 5 2" xfId="33076"/>
    <cellStyle name="百分比 2 2 7 3 4 2" xfId="33077"/>
    <cellStyle name="百分比 2 2 7 6 2" xfId="33078"/>
    <cellStyle name="百分比 2 2 8 2 4 2" xfId="33079"/>
    <cellStyle name="百分比 2 2 8 3 4 2" xfId="33080"/>
    <cellStyle name="百分比 2 2 8 6 2" xfId="33081"/>
    <cellStyle name="百分比 2 3 12" xfId="33082"/>
    <cellStyle name="百分比 2 4 10 2" xfId="33083"/>
    <cellStyle name="百分比 2 4 13" xfId="33084"/>
    <cellStyle name="百分比 2 4 2 11" xfId="33085"/>
    <cellStyle name="百分比 2 4 2 2 10" xfId="33086"/>
    <cellStyle name="百分比 2 4 2 2 2 2 4 2" xfId="33087"/>
    <cellStyle name="百分比 2 4 2 2 2 3 4 2" xfId="33088"/>
    <cellStyle name="百分比 2 4 2 2 2 6 2" xfId="33089"/>
    <cellStyle name="百分比 2 4 2 2 3 4 2" xfId="33090"/>
    <cellStyle name="百分比 2 4 2 2 4 4 2" xfId="33091"/>
    <cellStyle name="百分比 2 4 2 2 7 2" xfId="33092"/>
    <cellStyle name="百分比 2 4 2 3 2 4 2" xfId="33093"/>
    <cellStyle name="百分比 2 4 2 3 3 4 2" xfId="33094"/>
    <cellStyle name="百分比 2 4 2 3 6 2" xfId="33095"/>
    <cellStyle name="百分比 2 4 2 4 4 2" xfId="33096"/>
    <cellStyle name="百分比 2 4 2 5 4 2" xfId="33097"/>
    <cellStyle name="百分比 2 4 2 8 2" xfId="33098"/>
    <cellStyle name="百分比 2 4 3 2 2 2 4 2" xfId="33099"/>
    <cellStyle name="百分比 2 4 3 2 2 5 2" xfId="33100"/>
    <cellStyle name="百分比 2 4 3 2 3 4 2" xfId="33101"/>
    <cellStyle name="百分比 2 4 3 2 6 2" xfId="33102"/>
    <cellStyle name="百分比 2 4 3 3 2 4 2" xfId="33103"/>
    <cellStyle name="百分比 2 4 3 3 3 4 2" xfId="33104"/>
    <cellStyle name="百分比 2 4 3 3 6 2" xfId="33105"/>
    <cellStyle name="百分比 2 4 3 4 4 2" xfId="33106"/>
    <cellStyle name="百分比 2 4 3 5 4 2" xfId="33107"/>
    <cellStyle name="百分比 2 4 3 8 2" xfId="33108"/>
    <cellStyle name="百分比 2 4 4 2 2 4 2" xfId="33109"/>
    <cellStyle name="百分比 2 4 4 2 3 4 2" xfId="33110"/>
    <cellStyle name="百分比 2 4 4 2 6 2" xfId="33111"/>
    <cellStyle name="百分比 2 4 4 3 4 2" xfId="33112"/>
    <cellStyle name="百分比 2 4 4 4 4 2" xfId="33113"/>
    <cellStyle name="百分比 2 4 4 7 2" xfId="33114"/>
    <cellStyle name="百分比 2 4 5 2 2 4 2" xfId="33115"/>
    <cellStyle name="百分比 2 4 5 2 5 2" xfId="33116"/>
    <cellStyle name="百分比 2 4 5 3 4 2" xfId="33117"/>
    <cellStyle name="百分比 2 4 5 6 2" xfId="33118"/>
    <cellStyle name="百分比 2 4 6 2 4 2" xfId="33119"/>
    <cellStyle name="百分比 2 4 6 5 2" xfId="33120"/>
    <cellStyle name="百分比 2 4 7 4 2" xfId="33121"/>
    <cellStyle name="百分比 2 7 2 2 2 4 2" xfId="33122"/>
    <cellStyle name="百分比 2 7 2 2 3 4 2" xfId="33123"/>
    <cellStyle name="百分比 2 7 2 2 6 2" xfId="33124"/>
    <cellStyle name="百分比 2 7 2 3 4 2" xfId="33125"/>
    <cellStyle name="百分比 2 7 2 4 4 2" xfId="33126"/>
    <cellStyle name="百分比 2 7 2 7 2" xfId="33127"/>
    <cellStyle name="百分比 2 7 3 2 4 2" xfId="33128"/>
    <cellStyle name="百分比 2 7 3 3 4 2" xfId="33129"/>
    <cellStyle name="百分比 2 7 3 6 2" xfId="33130"/>
    <cellStyle name="百分比 2 7 4 4 2" xfId="33131"/>
    <cellStyle name="百分比 2 7 5 4 2" xfId="33132"/>
    <cellStyle name="百分比 2 7 8 2" xfId="33133"/>
    <cellStyle name="百分比 2 8 2 2 4 2" xfId="33134"/>
    <cellStyle name="百分比 2 8 2 3 4 2" xfId="33135"/>
    <cellStyle name="百分比 2 8 2 6 2" xfId="33136"/>
    <cellStyle name="百分比 2 8 3 4 2" xfId="33137"/>
    <cellStyle name="百分比 2 8 4 4 2" xfId="33138"/>
    <cellStyle name="百分比 2 8 7 2" xfId="33139"/>
    <cellStyle name="百分比 2 9 2 2 4 2" xfId="33140"/>
    <cellStyle name="百分比 2 9 2 5 2" xfId="33141"/>
    <cellStyle name="百分比 2 9 3 4 2" xfId="33142"/>
    <cellStyle name="百分比 2 9 6 2" xfId="33143"/>
    <cellStyle name="百分比 23" xfId="33144"/>
    <cellStyle name="百分比 24" xfId="33145"/>
    <cellStyle name="百分比 25" xfId="33146"/>
    <cellStyle name="百分比 3 2 2 2 4 2" xfId="33147"/>
    <cellStyle name="百分比 3 2 2 5 2" xfId="33148"/>
    <cellStyle name="百分比 3 2 3 2 4 2" xfId="33149"/>
    <cellStyle name="百分比 3 2 3 5 2" xfId="33150"/>
    <cellStyle name="百分比 3 2 8" xfId="33151"/>
    <cellStyle name="百分比 3 3 2 4 2" xfId="33152"/>
    <cellStyle name="百分比 3 3 3 4 2" xfId="33153"/>
    <cellStyle name="百分比 3 4 12" xfId="33154"/>
    <cellStyle name="百分比 3 4 2 4 2" xfId="33155"/>
    <cellStyle name="百分比 3 4 5 2" xfId="33156"/>
    <cellStyle name="百分比 3 5 11" xfId="33157"/>
    <cellStyle name="百分比 4 10 4 8" xfId="33158"/>
    <cellStyle name="百分比 4 2 2 2 2 4 2" xfId="33159"/>
    <cellStyle name="百分比 4 2 2 2 3 4 2" xfId="33160"/>
    <cellStyle name="百分比 4 2 2 2 6 8" xfId="33161"/>
    <cellStyle name="百分比 4 2 2 26" xfId="33162"/>
    <cellStyle name="百分比 4 2 2 3 4 8" xfId="33163"/>
    <cellStyle name="百分比 4 2 2 4 4 8" xfId="33164"/>
    <cellStyle name="百分比 4 2 2 7 13" xfId="33165"/>
    <cellStyle name="百分比 4 2 27" xfId="33166"/>
    <cellStyle name="百分比 4 2 3 2 2 4 2" xfId="33167"/>
    <cellStyle name="百分比 4 2 3 2 5 2" xfId="33168"/>
    <cellStyle name="百分比 4 2 3 3 4 2" xfId="33169"/>
    <cellStyle name="百分比 4 2 3 6 8" xfId="33170"/>
    <cellStyle name="百分比 4 2 4 2 4 2" xfId="33171"/>
    <cellStyle name="百分比 4 2 4 3 4 2" xfId="33172"/>
    <cellStyle name="百分比 4 2 4 6 8" xfId="33173"/>
    <cellStyle name="百分比 4 2 5 4 8" xfId="33174"/>
    <cellStyle name="百分比 4 2 6 4 8" xfId="33175"/>
    <cellStyle name="百分比 4 2 9 12" xfId="33176"/>
    <cellStyle name="百分比 4 21" xfId="33177"/>
    <cellStyle name="百分比 4 3 17" xfId="33178"/>
    <cellStyle name="百分比 4 3 2 18" xfId="33179"/>
    <cellStyle name="百分比 4 3 2 2 2 4 2" xfId="33180"/>
    <cellStyle name="百分比 4 3 2 2 5 2" xfId="33181"/>
    <cellStyle name="百分比 4 3 2 3 4 2" xfId="33182"/>
    <cellStyle name="百分比 4 3 2 6 8" xfId="33183"/>
    <cellStyle name="百分比 4 3 3 2 4 2" xfId="33184"/>
    <cellStyle name="百分比 4 3 3 3 4 2" xfId="33185"/>
    <cellStyle name="百分比 4 3 3 6 8" xfId="33186"/>
    <cellStyle name="百分比 4 3 4 4 8" xfId="33187"/>
    <cellStyle name="百分比 4 3 5 4 8" xfId="33188"/>
    <cellStyle name="百分比 4 3 8 12" xfId="33189"/>
    <cellStyle name="百分比 4 4 14" xfId="33190"/>
    <cellStyle name="百分比 4 5 11" xfId="33191"/>
    <cellStyle name="百分比 4 5 2 2 4 2" xfId="33192"/>
    <cellStyle name="百分比 4 5 2 3 4 2" xfId="33193"/>
    <cellStyle name="百分比 4 5 2 6 2" xfId="33194"/>
    <cellStyle name="百分比 4 5 3 4 2" xfId="33195"/>
    <cellStyle name="百分比 4 5 4 4 2" xfId="33196"/>
    <cellStyle name="百分比 4 5 7 8" xfId="33197"/>
    <cellStyle name="百分比 4 6 2 2 4 2" xfId="33198"/>
    <cellStyle name="百分比 4 6 2 5 2" xfId="33199"/>
    <cellStyle name="百分比 4 6 3 4 2" xfId="33200"/>
    <cellStyle name="百分比 4 6 6 8" xfId="33201"/>
    <cellStyle name="百分比 4 7 2 4 2" xfId="33202"/>
    <cellStyle name="百分比 4 7 3 4 2" xfId="33203"/>
    <cellStyle name="百分比 4 7 6 8" xfId="33204"/>
    <cellStyle name="百分比 4 8 5 8" xfId="33205"/>
    <cellStyle name="百分比 4 9 4 8" xfId="33206"/>
    <cellStyle name="百分比 5 12 2" xfId="33207"/>
    <cellStyle name="百分比 5 16" xfId="33208"/>
    <cellStyle name="百分比 5 2 2 2 2 4 2" xfId="33209"/>
    <cellStyle name="百分比 5 2 2 2 3 4 2" xfId="33210"/>
    <cellStyle name="百分比 5 2 2 2 6 2" xfId="33211"/>
    <cellStyle name="百分比 5 2 2 3 4 2" xfId="33212"/>
    <cellStyle name="百分比 5 2 2 4 4 2" xfId="33213"/>
    <cellStyle name="百分比 5 2 2 7 2" xfId="33214"/>
    <cellStyle name="百分比 5 2 3 2 4 2" xfId="33215"/>
    <cellStyle name="百分比 5 2 3 3 4 2" xfId="33216"/>
    <cellStyle name="百分比 5 2 3 6 2" xfId="33217"/>
    <cellStyle name="百分比 5 2 4 4 2" xfId="33218"/>
    <cellStyle name="百分比 5 2 5 4 2" xfId="33219"/>
    <cellStyle name="百分比 5 2 8 7" xfId="33220"/>
    <cellStyle name="百分比 5 3 2 2 2 4 2" xfId="33221"/>
    <cellStyle name="百分比 5 3 2 2 5 2" xfId="33222"/>
    <cellStyle name="百分比 5 3 2 3 4 2" xfId="33223"/>
    <cellStyle name="百分比 5 3 2 6 2" xfId="33224"/>
    <cellStyle name="百分比 5 3 3 2 4 2" xfId="33225"/>
    <cellStyle name="百分比 5 3 3 3 4 2" xfId="33226"/>
    <cellStyle name="百分比 5 3 3 6 2" xfId="33227"/>
    <cellStyle name="百分比 5 3 4 4 2" xfId="33228"/>
    <cellStyle name="百分比 5 3 5 4 2" xfId="33229"/>
    <cellStyle name="百分比 5 3 8 2" xfId="33230"/>
    <cellStyle name="百分比 5 4 2 2 4 2" xfId="33231"/>
    <cellStyle name="百分比 5 4 2 3 4 2" xfId="33232"/>
    <cellStyle name="百分比 5 4 2 6 2" xfId="33233"/>
    <cellStyle name="百分比 5 4 3 4 2" xfId="33234"/>
    <cellStyle name="百分比 5 4 4 4 2" xfId="33235"/>
    <cellStyle name="百分比 5 4 7 2" xfId="33236"/>
    <cellStyle name="百分比 5 5 2 2 4 2" xfId="33237"/>
    <cellStyle name="百分比 5 5 2 5 2" xfId="33238"/>
    <cellStyle name="百分比 5 5 3 4 2" xfId="33239"/>
    <cellStyle name="百分比 5 5 6 2" xfId="33240"/>
    <cellStyle name="百分比 5 6 2 4 2" xfId="33241"/>
    <cellStyle name="百分比 5 6 3 4 2" xfId="33242"/>
    <cellStyle name="百分比 5 6 6 2" xfId="33243"/>
    <cellStyle name="百分比 5 8 4 2" xfId="33244"/>
    <cellStyle name="百分比 5 9 4 2" xfId="33245"/>
    <cellStyle name="百分比 6 10 2" xfId="33246"/>
    <cellStyle name="百分比 6 14" xfId="33247"/>
    <cellStyle name="百分比 6 2 10" xfId="33248"/>
    <cellStyle name="百分比 6 2 2 2 2 4 2" xfId="33249"/>
    <cellStyle name="百分比 6 2 2 2 3 4 2" xfId="33250"/>
    <cellStyle name="百分比 6 2 2 2 6 2" xfId="33251"/>
    <cellStyle name="百分比 6 2 2 3 4 2" xfId="33252"/>
    <cellStyle name="百分比 6 2 2 4 4 2" xfId="33253"/>
    <cellStyle name="百分比 6 2 2 7 2" xfId="33254"/>
    <cellStyle name="百分比 6 2 3 2 4 2" xfId="33255"/>
    <cellStyle name="百分比 6 2 3 3 4 2" xfId="33256"/>
    <cellStyle name="百分比 6 2 3 6 2" xfId="33257"/>
    <cellStyle name="百分比 6 2 4 4 2" xfId="33258"/>
    <cellStyle name="百分比 6 2 5 4 2" xfId="33259"/>
    <cellStyle name="百分比 6 2 8 2" xfId="33260"/>
    <cellStyle name="百分比 6 3 2 2 2 4 2" xfId="33261"/>
    <cellStyle name="百分比 6 3 2 2 5 2" xfId="33262"/>
    <cellStyle name="百分比 6 3 2 3 4 2" xfId="33263"/>
    <cellStyle name="百分比 6 3 2 6 2" xfId="33264"/>
    <cellStyle name="百分比 6 3 3 2 4 2" xfId="33265"/>
    <cellStyle name="百分比 6 3 3 3 4 2" xfId="33266"/>
    <cellStyle name="百分比 6 3 3 6 2" xfId="33267"/>
    <cellStyle name="百分比 6 3 4 4 2" xfId="33268"/>
    <cellStyle name="百分比 6 3 5 4 2" xfId="33269"/>
    <cellStyle name="百分比 6 3 8 2" xfId="33270"/>
    <cellStyle name="百分比 6 4 2 2 4 2" xfId="33271"/>
    <cellStyle name="百分比 6 4 2 3 4 2" xfId="33272"/>
    <cellStyle name="百分比 6 4 2 6 2" xfId="33273"/>
    <cellStyle name="百分比 6 4 3 4 2" xfId="33274"/>
    <cellStyle name="百分比 6 4 4 4 2" xfId="33275"/>
    <cellStyle name="百分比 6 4 7 2" xfId="33276"/>
    <cellStyle name="百分比 6 5 2 4 2" xfId="33277"/>
    <cellStyle name="百分比 6 5 6 2" xfId="33278"/>
    <cellStyle name="百分比 6 6 2 4 2" xfId="33279"/>
    <cellStyle name="百分比 6 6 5 2" xfId="33280"/>
    <cellStyle name="百分比 6 7 4 2" xfId="33281"/>
    <cellStyle name="百分比 7 10 2" xfId="33282"/>
    <cellStyle name="百分比 7 2 2 2 2 4 2" xfId="33283"/>
    <cellStyle name="百分比 7 2 2 2 3 4 2" xfId="33284"/>
    <cellStyle name="百分比 7 2 2 2 6 2" xfId="33285"/>
    <cellStyle name="百分比 7 2 2 3 4 2" xfId="33286"/>
    <cellStyle name="百分比 7 2 2 4 4 2" xfId="33287"/>
    <cellStyle name="百分比 7 2 2 7 2" xfId="33288"/>
    <cellStyle name="百分比 7 2 3 2 4 2" xfId="33289"/>
    <cellStyle name="百分比 7 2 3 3 4 2" xfId="33290"/>
    <cellStyle name="百分比 7 2 3 6 2" xfId="33291"/>
    <cellStyle name="百分比 7 2 4 4 2" xfId="33292"/>
    <cellStyle name="百分比 7 2 5 4 2" xfId="33293"/>
    <cellStyle name="百分比 7 2 8 2" xfId="33294"/>
    <cellStyle name="百分比 7 3 2 2 2 4 2" xfId="33295"/>
    <cellStyle name="百分比 7 3 2 2 5 2" xfId="33296"/>
    <cellStyle name="百分比 7 3 2 3 4 2" xfId="33297"/>
    <cellStyle name="百分比 7 3 2 6 2" xfId="33298"/>
    <cellStyle name="百分比 7 3 3 2 4 2" xfId="33299"/>
    <cellStyle name="百分比 7 3 3 3 4 2" xfId="33300"/>
    <cellStyle name="百分比 7 3 3 6 2" xfId="33301"/>
    <cellStyle name="百分比 7 3 4 4 2" xfId="33302"/>
    <cellStyle name="百分比 7 3 5 4 2" xfId="33303"/>
    <cellStyle name="百分比 7 3 8 2" xfId="33304"/>
    <cellStyle name="百分比 7 4 2 2 4 2" xfId="33305"/>
    <cellStyle name="百分比 7 4 2 3 4 2" xfId="33306"/>
    <cellStyle name="百分比 7 4 2 6 2" xfId="33307"/>
    <cellStyle name="百分比 7 4 3 4 2" xfId="33308"/>
    <cellStyle name="百分比 7 4 4 4 2" xfId="33309"/>
    <cellStyle name="百分比 7 4 7 2" xfId="33310"/>
    <cellStyle name="百分比 7 5 2 4 2" xfId="33311"/>
    <cellStyle name="百分比 7 5 6 2" xfId="33312"/>
    <cellStyle name="百分比 7 6 2 4 2" xfId="33313"/>
    <cellStyle name="百分比 7 6 5 2" xfId="33314"/>
    <cellStyle name="百分比 7 7 4 2" xfId="33315"/>
    <cellStyle name="百分比 8 2 2 2 2 4 2" xfId="33316"/>
    <cellStyle name="百分比 8 2 2 2 5 2" xfId="33317"/>
    <cellStyle name="百分比 8 2 2 3 4 2" xfId="33318"/>
    <cellStyle name="百分比 8 2 2 6 2" xfId="33319"/>
    <cellStyle name="百分比 8 2 3 2 4 2" xfId="33320"/>
    <cellStyle name="百分比 8 2 3 3 4 2" xfId="33321"/>
    <cellStyle name="百分比 8 2 3 6 2" xfId="33322"/>
    <cellStyle name="百分比 8 2 4 4 2" xfId="33323"/>
    <cellStyle name="百分比 8 2 5 4 2" xfId="33324"/>
    <cellStyle name="百分比 8 2 8 2" xfId="33325"/>
    <cellStyle name="百分比 8 3 2 2 4 2" xfId="33326"/>
    <cellStyle name="百分比 8 3 2 3 4 2" xfId="33327"/>
    <cellStyle name="百分比 8 3 2 6 2" xfId="33328"/>
    <cellStyle name="百分比 8 3 3 4 2" xfId="33329"/>
    <cellStyle name="百分比 8 3 4 4 2" xfId="33330"/>
    <cellStyle name="百分比 8 3 7 2" xfId="33331"/>
    <cellStyle name="百分比 8 4 2 4 2" xfId="33332"/>
    <cellStyle name="百分比 8 4 3 4 2" xfId="33333"/>
    <cellStyle name="百分比 8 4 6 2" xfId="33334"/>
    <cellStyle name="百分比 8 5 4 2" xfId="33335"/>
    <cellStyle name="百分比 8 6 4 2" xfId="33336"/>
    <cellStyle name="百分比 8 9 2" xfId="33337"/>
    <cellStyle name="标题 1 4" xfId="33338"/>
    <cellStyle name="标题 2 4" xfId="33339"/>
    <cellStyle name="标题 3 4" xfId="33340"/>
    <cellStyle name="标题 4 5" xfId="33341"/>
    <cellStyle name="标题 7" xfId="33342"/>
    <cellStyle name="差 4" xfId="33343"/>
    <cellStyle name="常规 10 10 2 4 2" xfId="33344"/>
    <cellStyle name="常规 10 10 5 2" xfId="33345"/>
    <cellStyle name="常规 10 11 2 4 2" xfId="33346"/>
    <cellStyle name="常规 10 11 5 2" xfId="33347"/>
    <cellStyle name="常规 10 12 4 2" xfId="33348"/>
    <cellStyle name="常规 10 13 4 2" xfId="33349"/>
    <cellStyle name="常规 10 15" xfId="33350"/>
    <cellStyle name="常规 10 2 10 2 4 2" xfId="33351"/>
    <cellStyle name="常规 10 2 10 5 2" xfId="33352"/>
    <cellStyle name="常规 10 2 13 3" xfId="33353"/>
    <cellStyle name="常规 10 2 2 10 4 2" xfId="33354"/>
    <cellStyle name="常规 10 2 2 11 4 2" xfId="33355"/>
    <cellStyle name="常规 10 2 2 14 3" xfId="33356"/>
    <cellStyle name="常规 10 2 2 2 10 4 2" xfId="33357"/>
    <cellStyle name="常规 10 2 2 2 13 2" xfId="33358"/>
    <cellStyle name="常规 10 2 2 2 2 2 2 2 2 4 2" xfId="33359"/>
    <cellStyle name="常规 10 2 2 2 2 2 2 2 5 3" xfId="33360"/>
    <cellStyle name="常规 10 2 2 2 2 2 2 3 4 2" xfId="33361"/>
    <cellStyle name="常规 10 2 2 2 2 2 2 6 3" xfId="33362"/>
    <cellStyle name="常规 10 2 2 2 2 2 3 2 4 2" xfId="33363"/>
    <cellStyle name="常规 10 2 2 2 2 2 3 5 3" xfId="33364"/>
    <cellStyle name="常规 10 2 2 2 2 2 4 4 2" xfId="33365"/>
    <cellStyle name="常规 10 2 2 2 2 2 7 3" xfId="33366"/>
    <cellStyle name="常规 10 2 2 2 2 3 2 2 4 2" xfId="33367"/>
    <cellStyle name="常规 10 2 2 2 2 3 2 5 3" xfId="33368"/>
    <cellStyle name="常规 10 2 2 2 2 3 3 4 2" xfId="33369"/>
    <cellStyle name="常规 10 2 2 2 2 3 6 3" xfId="33370"/>
    <cellStyle name="常规 10 2 2 2 2 4 2 4 2" xfId="33371"/>
    <cellStyle name="常规 10 2 2 2 2 4 5 3" xfId="33372"/>
    <cellStyle name="常规 10 2 2 2 2 5 4 2" xfId="33373"/>
    <cellStyle name="常规 10 2 2 2 2 6 4 2" xfId="33374"/>
    <cellStyle name="常规 10 2 2 2 2 9 3" xfId="33375"/>
    <cellStyle name="常规 10 2 2 2 3 2 2 2 4 2" xfId="33376"/>
    <cellStyle name="常规 10 2 2 2 3 2 2 5 3" xfId="33377"/>
    <cellStyle name="常规 10 2 2 2 3 2 3 4 2" xfId="33378"/>
    <cellStyle name="常规 10 2 2 2 3 2 6 3" xfId="33379"/>
    <cellStyle name="常规 10 2 2 2 3 3 2 4 2" xfId="33380"/>
    <cellStyle name="常规 10 2 2 2 3 3 5 3" xfId="33381"/>
    <cellStyle name="常规 10 2 2 2 3 4 4 2" xfId="33382"/>
    <cellStyle name="常规 10 2 2 2 3 7 3" xfId="33383"/>
    <cellStyle name="常规 10 2 2 2 4 2 2 2 4 2" xfId="33384"/>
    <cellStyle name="常规 10 2 2 2 4 2 2 5 2" xfId="33385"/>
    <cellStyle name="常规 10 2 2 2 4 2 3 4 2" xfId="33386"/>
    <cellStyle name="常规 10 2 2 2 4 2 6 3" xfId="33387"/>
    <cellStyle name="常规 10 2 2 2 4 3 2 4 2" xfId="33388"/>
    <cellStyle name="常规 10 2 2 2 4 3 5 2" xfId="33389"/>
    <cellStyle name="常规 10 2 2 2 4 4 4 2" xfId="33390"/>
    <cellStyle name="常规 10 2 2 2 4 7 3" xfId="33391"/>
    <cellStyle name="常规 10 2 2 2 5 2 2 2 4 2" xfId="33392"/>
    <cellStyle name="常规 10 2 2 2 5 2 2 5 2" xfId="33393"/>
    <cellStyle name="常规 10 2 2 2 5 2 3 4 2" xfId="33394"/>
    <cellStyle name="常规 10 2 2 2 5 2 6 3" xfId="33395"/>
    <cellStyle name="常规 10 2 2 2 5 3 2 4 2" xfId="33396"/>
    <cellStyle name="常规 10 2 2 2 5 3 5 2" xfId="33397"/>
    <cellStyle name="常规 10 2 2 2 5 4 4 2" xfId="33398"/>
    <cellStyle name="常规 10 2 2 2 5 7 3" xfId="33399"/>
    <cellStyle name="常规 10 2 2 2 6 2 2 4 2" xfId="33400"/>
    <cellStyle name="常规 10 2 2 2 6 2 5 2" xfId="33401"/>
    <cellStyle name="常规 10 2 2 2 6 3 4 2" xfId="33402"/>
    <cellStyle name="常规 10 2 2 2 6 6 3" xfId="33403"/>
    <cellStyle name="常规 10 2 2 2 7 2 4 2" xfId="33404"/>
    <cellStyle name="常规 10 2 2 2 7 5 2" xfId="33405"/>
    <cellStyle name="常规 10 2 2 2 8 2 4 2" xfId="33406"/>
    <cellStyle name="常规 10 2 2 2 8 5 2" xfId="33407"/>
    <cellStyle name="常规 10 2 2 2 9 4 2" xfId="33408"/>
    <cellStyle name="常规 10 2 2 3 2 2 2 2 4 2" xfId="33409"/>
    <cellStyle name="常规 10 2 2 3 2 2 2 5 3" xfId="33410"/>
    <cellStyle name="常规 10 2 2 3 2 2 3 4 2" xfId="33411"/>
    <cellStyle name="常规 10 2 2 3 2 2 6 3" xfId="33412"/>
    <cellStyle name="常规 10 2 2 3 2 3 2 4 2" xfId="33413"/>
    <cellStyle name="常规 10 2 2 3 2 3 5 3" xfId="33414"/>
    <cellStyle name="常规 10 2 2 3 2 4 4 2" xfId="33415"/>
    <cellStyle name="常规 10 2 2 3 2 5 4 2" xfId="33416"/>
    <cellStyle name="常规 10 2 2 3 2 8 3" xfId="33417"/>
    <cellStyle name="常规 10 2 2 3 3 2 2 4 2" xfId="33418"/>
    <cellStyle name="常规 10 2 2 3 3 2 5 3" xfId="33419"/>
    <cellStyle name="常规 10 2 2 3 3 3 4 2" xfId="33420"/>
    <cellStyle name="常规 10 2 2 3 3 6 3" xfId="33421"/>
    <cellStyle name="常规 10 2 2 3 4 2 4 2" xfId="33422"/>
    <cellStyle name="常规 10 2 2 3 4 5 3" xfId="33423"/>
    <cellStyle name="常规 10 2 2 3 5 4 2" xfId="33424"/>
    <cellStyle name="常规 10 2 2 3 6 4 2" xfId="33425"/>
    <cellStyle name="常规 10 2 2 3 9 3" xfId="33426"/>
    <cellStyle name="常规 10 2 2 4 2 2 2 4 2" xfId="33427"/>
    <cellStyle name="常规 10 2 2 4 2 2 5 3" xfId="33428"/>
    <cellStyle name="常规 10 2 2 4 2 3 4 2" xfId="33429"/>
    <cellStyle name="常规 10 2 2 4 2 6 3" xfId="33430"/>
    <cellStyle name="常规 10 2 2 4 3 2 4 2" xfId="33431"/>
    <cellStyle name="常规 10 2 2 4 3 5 3" xfId="33432"/>
    <cellStyle name="常规 10 2 2 4 4 4 2" xfId="33433"/>
    <cellStyle name="常规 10 2 2 4 5 4 2" xfId="33434"/>
    <cellStyle name="常规 10 2 2 4 8 3" xfId="33435"/>
    <cellStyle name="常规 10 2 2 5 2 2 2 4 2" xfId="33436"/>
    <cellStyle name="常规 10 2 2 5 2 2 5 3" xfId="33437"/>
    <cellStyle name="常规 10 2 2 5 2 3 4 2" xfId="33438"/>
    <cellStyle name="常规 10 2 2 5 2 6 3" xfId="33439"/>
    <cellStyle name="常规 10 2 2 5 3 2 4 2" xfId="33440"/>
    <cellStyle name="常规 10 2 2 5 3 5 3" xfId="33441"/>
    <cellStyle name="常规 10 2 2 5 4 4 2" xfId="33442"/>
    <cellStyle name="常规 10 2 2 5 7 3" xfId="33443"/>
    <cellStyle name="常规 10 2 2 6 2 2 2 4 2" xfId="33444"/>
    <cellStyle name="常规 10 2 2 6 2 2 5 2" xfId="33445"/>
    <cellStyle name="常规 10 2 2 6 2 3 4 2" xfId="33446"/>
    <cellStyle name="常规 10 2 2 6 2 6 3" xfId="33447"/>
    <cellStyle name="常规 10 2 2 6 3 2 4 2" xfId="33448"/>
    <cellStyle name="常规 10 2 2 6 3 5 2" xfId="33449"/>
    <cellStyle name="常规 10 2 2 6 4 4 2" xfId="33450"/>
    <cellStyle name="常规 10 2 2 6 7 3" xfId="33451"/>
    <cellStyle name="常规 10 2 2 7 2 2 4 2" xfId="33452"/>
    <cellStyle name="常规 10 2 2 7 2 5 3" xfId="33453"/>
    <cellStyle name="常规 10 2 2 7 3 4 2" xfId="33454"/>
    <cellStyle name="常规 10 2 2 7 6 3" xfId="33455"/>
    <cellStyle name="常规 10 2 2 8 2 4 3" xfId="33456"/>
    <cellStyle name="常规 10 2 2 8 5 3" xfId="33457"/>
    <cellStyle name="常规 10 2 2 9 2 4 2" xfId="33458"/>
    <cellStyle name="常规 10 2 2 9 5 3" xfId="33459"/>
    <cellStyle name="常规 10 2 3 2 2 2 2 2 4 2" xfId="33460"/>
    <cellStyle name="常规 10 2 3 2 2 2 2 5 3" xfId="33461"/>
    <cellStyle name="常规 10 2 3 2 2 2 3 4 2" xfId="33462"/>
    <cellStyle name="常规 10 2 3 2 2 2 6 3" xfId="33463"/>
    <cellStyle name="常规 10 2 3 2 2 3 2 4 2" xfId="33464"/>
    <cellStyle name="常规 10 2 3 2 2 3 5 3" xfId="33465"/>
    <cellStyle name="常规 10 2 3 2 2 4 4 2" xfId="33466"/>
    <cellStyle name="常规 10 2 3 2 2 7 3" xfId="33467"/>
    <cellStyle name="常规 10 2 3 2 3 2 2 4 2" xfId="33468"/>
    <cellStyle name="常规 10 2 3 2 3 2 5 3" xfId="33469"/>
    <cellStyle name="常规 10 2 3 2 3 3 4 2" xfId="33470"/>
    <cellStyle name="常规 10 2 3 2 3 6 3" xfId="33471"/>
    <cellStyle name="常规 10 2 3 2 4 2 4 2" xfId="33472"/>
    <cellStyle name="常规 10 2 3 2 4 5 3" xfId="33473"/>
    <cellStyle name="常规 10 2 3 2 5 4 2" xfId="33474"/>
    <cellStyle name="常规 10 2 3 2 8 3" xfId="33475"/>
    <cellStyle name="常规 10 2 3 3 2 2 2 4 2" xfId="33476"/>
    <cellStyle name="常规 10 2 3 3 2 2 5 3" xfId="33477"/>
    <cellStyle name="常规 10 2 3 3 2 3 4 2" xfId="33478"/>
    <cellStyle name="常规 10 2 3 3 2 6 3" xfId="33479"/>
    <cellStyle name="常规 10 2 3 3 3 2 4 2" xfId="33480"/>
    <cellStyle name="常规 10 2 3 3 3 5 3" xfId="33481"/>
    <cellStyle name="常规 10 2 3 3 4 4 2" xfId="33482"/>
    <cellStyle name="常规 10 2 3 3 7 3" xfId="33483"/>
    <cellStyle name="常规 10 2 3 4 2 2 2 4 2" xfId="33484"/>
    <cellStyle name="常规 10 2 3 4 2 2 5 2" xfId="33485"/>
    <cellStyle name="常规 10 2 3 4 2 3 4 2" xfId="33486"/>
    <cellStyle name="常规 10 2 3 4 2 6 3" xfId="33487"/>
    <cellStyle name="常规 10 2 3 4 3 2 4 2" xfId="33488"/>
    <cellStyle name="常规 10 2 3 4 3 5 2" xfId="33489"/>
    <cellStyle name="常规 10 2 3 4 4 4 2" xfId="33490"/>
    <cellStyle name="常规 10 2 3 4 7 3" xfId="33491"/>
    <cellStyle name="常规 10 2 3 5 2 2 2 4 2" xfId="33492"/>
    <cellStyle name="常规 10 2 3 5 2 2 5 2" xfId="33493"/>
    <cellStyle name="常规 10 2 3 5 2 3 4 2" xfId="33494"/>
    <cellStyle name="常规 10 2 3 5 2 6 3" xfId="33495"/>
    <cellStyle name="常规 10 2 3 5 3 2 4 2" xfId="33496"/>
    <cellStyle name="常规 10 2 3 5 3 5 2" xfId="33497"/>
    <cellStyle name="常规 10 2 3 5 4 4 2" xfId="33498"/>
    <cellStyle name="常规 10 2 3 5 7 3" xfId="33499"/>
    <cellStyle name="常规 10 2 3 6 2 2 4 2" xfId="33500"/>
    <cellStyle name="常规 10 2 3 6 2 5 2" xfId="33501"/>
    <cellStyle name="常规 10 2 3 6 3 4 2" xfId="33502"/>
    <cellStyle name="常规 10 2 3 6 6 3" xfId="33503"/>
    <cellStyle name="常规 10 2 3 7 2 4 2" xfId="33504"/>
    <cellStyle name="常规 10 2 3 7 5 2" xfId="33505"/>
    <cellStyle name="常规 10 2 3 8 4 2" xfId="33506"/>
    <cellStyle name="常规 10 2 3 9 4 2" xfId="33507"/>
    <cellStyle name="常规 10 2 4 2 2 2 2 4 2" xfId="33508"/>
    <cellStyle name="常规 10 2 4 2 2 2 5 3" xfId="33509"/>
    <cellStyle name="常规 10 2 4 2 2 3 4 2" xfId="33510"/>
    <cellStyle name="常规 10 2 4 2 2 6 3" xfId="33511"/>
    <cellStyle name="常规 10 2 4 2 3 2 4 2" xfId="33512"/>
    <cellStyle name="常规 10 2 4 2 3 5 3" xfId="33513"/>
    <cellStyle name="常规 10 2 4 2 4 4 2" xfId="33514"/>
    <cellStyle name="常规 10 2 4 2 7 3" xfId="33515"/>
    <cellStyle name="常规 10 2 4 3 2 2 4 2" xfId="33516"/>
    <cellStyle name="常规 10 2 4 3 2 5 3" xfId="33517"/>
    <cellStyle name="常规 10 2 4 3 3 4 2" xfId="33518"/>
    <cellStyle name="常规 10 2 4 3 6 3" xfId="33519"/>
    <cellStyle name="常规 10 2 4 4 2 4 3" xfId="33520"/>
    <cellStyle name="常规 10 2 4 4 5 3" xfId="33521"/>
    <cellStyle name="常规 10 2 4 5 4 2" xfId="33522"/>
    <cellStyle name="常规 10 2 4 6 4 2" xfId="33523"/>
    <cellStyle name="常规 10 2 4 9 2" xfId="33524"/>
    <cellStyle name="常规 10 2 5 2 2 2 4 3" xfId="33525"/>
    <cellStyle name="常规 10 2 5 2 2 5 3" xfId="33526"/>
    <cellStyle name="常规 10 2 5 2 3 4 3" xfId="33527"/>
    <cellStyle name="常规 10 2 5 2 6 3" xfId="33528"/>
    <cellStyle name="常规 10 2 5 3 2 4 3" xfId="33529"/>
    <cellStyle name="常规 10 2 5 3 5 3" xfId="33530"/>
    <cellStyle name="常规 10 2 5 4 4 3" xfId="33531"/>
    <cellStyle name="常规 10 2 5 7 3" xfId="33532"/>
    <cellStyle name="常规 10 2 6 2 2 2 4 3" xfId="33533"/>
    <cellStyle name="常规 10 2 6 2 2 5 3" xfId="33534"/>
    <cellStyle name="常规 10 2 6 2 3 4 3" xfId="33535"/>
    <cellStyle name="常规 10 2 6 2 6 3" xfId="33536"/>
    <cellStyle name="常规 10 2 6 3 2 4 3" xfId="33537"/>
    <cellStyle name="常规 10 2 6 3 5 3" xfId="33538"/>
    <cellStyle name="常规 10 2 6 4 4 3" xfId="33539"/>
    <cellStyle name="常规 10 2 6 7 3" xfId="33540"/>
    <cellStyle name="常规 10 2 7 2 2 2 4 2" xfId="33541"/>
    <cellStyle name="常规 10 2 7 2 2 5 3" xfId="33542"/>
    <cellStyle name="常规 10 2 7 2 3 4 2" xfId="33543"/>
    <cellStyle name="常规 10 2 7 2 6 3" xfId="33544"/>
    <cellStyle name="常规 10 2 7 3 2 4 2" xfId="33545"/>
    <cellStyle name="常规 10 2 7 3 5 3" xfId="33546"/>
    <cellStyle name="常规 10 2 7 4 4 2" xfId="33547"/>
    <cellStyle name="常规 10 2 7 7 3" xfId="33548"/>
    <cellStyle name="常规 10 2 8 2 2 4 3" xfId="33549"/>
    <cellStyle name="常规 10 2 8 2 5 3" xfId="33550"/>
    <cellStyle name="常规 10 2 8 3 4 3" xfId="33551"/>
    <cellStyle name="常规 10 2 8 6 3" xfId="33552"/>
    <cellStyle name="常规 10 2 9 2 4 3" xfId="33553"/>
    <cellStyle name="常规 10 2 9 5 3" xfId="33554"/>
    <cellStyle name="常规 10 3 10 4 2" xfId="33555"/>
    <cellStyle name="常规 10 3 11 4 2" xfId="33556"/>
    <cellStyle name="常规 10 3 14 2" xfId="33557"/>
    <cellStyle name="常规 10 3 2 10 4 2" xfId="33558"/>
    <cellStyle name="常规 10 3 2 13 2" xfId="33559"/>
    <cellStyle name="常规 10 3 2 2 2 2 2 2 4 2" xfId="33560"/>
    <cellStyle name="常规 10 3 2 2 2 2 2 5 3" xfId="33561"/>
    <cellStyle name="常规 10 3 2 2 2 2 3 4 2" xfId="33562"/>
    <cellStyle name="常规 10 3 2 2 2 2 6 3" xfId="33563"/>
    <cellStyle name="常规 10 3 2 2 2 3 2 4 2" xfId="33564"/>
    <cellStyle name="常规 10 3 2 2 2 3 5 3" xfId="33565"/>
    <cellStyle name="常规 10 3 2 2 2 4 4 2" xfId="33566"/>
    <cellStyle name="常规 10 3 2 2 2 7 3" xfId="33567"/>
    <cellStyle name="常规 10 3 2 2 3 2 2 4 2" xfId="33568"/>
    <cellStyle name="常规 10 3 2 2 3 2 5 3" xfId="33569"/>
    <cellStyle name="常规 10 3 2 2 3 3 4 2" xfId="33570"/>
    <cellStyle name="常规 10 3 2 2 3 6 3" xfId="33571"/>
    <cellStyle name="常规 10 3 2 2 4 2 4 2" xfId="33572"/>
    <cellStyle name="常规 10 3 2 2 4 5 3" xfId="33573"/>
    <cellStyle name="常规 10 3 2 2 5 4 2" xfId="33574"/>
    <cellStyle name="常规 10 3 2 2 6 4 2" xfId="33575"/>
    <cellStyle name="常规 10 3 2 2 9 3" xfId="33576"/>
    <cellStyle name="常规 10 3 2 3 2 2 2 4 2" xfId="33577"/>
    <cellStyle name="常规 10 3 2 3 2 2 5 3" xfId="33578"/>
    <cellStyle name="常规 10 3 2 3 2 3 4 2" xfId="33579"/>
    <cellStyle name="常规 10 3 2 3 2 6 3" xfId="33580"/>
    <cellStyle name="常规 10 3 2 3 3 2 4 2" xfId="33581"/>
    <cellStyle name="常规 10 3 2 3 3 5 3" xfId="33582"/>
    <cellStyle name="常规 10 3 2 3 4 4 2" xfId="33583"/>
    <cellStyle name="常规 10 3 2 3 7 3" xfId="33584"/>
    <cellStyle name="常规 10 3 2 4 2 2 2 4 2" xfId="33585"/>
    <cellStyle name="常规 10 3 2 4 2 2 5 3" xfId="33586"/>
    <cellStyle name="常规 10 3 2 4 2 3 4 2" xfId="33587"/>
    <cellStyle name="常规 10 3 2 4 2 6 3" xfId="33588"/>
    <cellStyle name="常规 10 3 2 4 3 2 4 2" xfId="33589"/>
    <cellStyle name="常规 10 3 2 4 3 5 3" xfId="33590"/>
    <cellStyle name="常规 10 3 2 4 4 4 2" xfId="33591"/>
    <cellStyle name="常规 10 3 2 4 7 3" xfId="33592"/>
    <cellStyle name="常规 10 3 2 5 2 2 2 4 2" xfId="33593"/>
    <cellStyle name="常规 10 3 2 5 2 2 5 2" xfId="33594"/>
    <cellStyle name="常规 10 3 2 5 2 3 4 2" xfId="33595"/>
    <cellStyle name="常规 10 3 2 5 2 6 3" xfId="33596"/>
    <cellStyle name="常规 10 3 2 5 3 2 4 2" xfId="33597"/>
    <cellStyle name="常规 10 3 2 5 3 5 2" xfId="33598"/>
    <cellStyle name="常规 10 3 2 5 4 4 2" xfId="33599"/>
    <cellStyle name="常规 10 3 2 5 7 3" xfId="33600"/>
    <cellStyle name="常规 10 3 2 6 2 2 4 2" xfId="33601"/>
    <cellStyle name="常规 10 3 2 6 2 5 2" xfId="33602"/>
    <cellStyle name="常规 10 3 2 6 3 4 2" xfId="33603"/>
    <cellStyle name="常规 10 3 2 6 6 3" xfId="33604"/>
    <cellStyle name="常规 10 3 2 7 2 4 2" xfId="33605"/>
    <cellStyle name="常规 10 3 2 7 5 2" xfId="33606"/>
    <cellStyle name="常规 10 3 2 8 2 4 2" xfId="33607"/>
    <cellStyle name="常规 10 3 2 8 5 2" xfId="33608"/>
    <cellStyle name="常规 10 3 2 9 4 2" xfId="33609"/>
    <cellStyle name="常规 10 3 3 2 2 2 2 4 2" xfId="33610"/>
    <cellStyle name="常规 10 3 3 2 2 2 5 3" xfId="33611"/>
    <cellStyle name="常规 10 3 3 2 2 3 4 2" xfId="33612"/>
    <cellStyle name="常规 10 3 3 2 2 6 3" xfId="33613"/>
    <cellStyle name="常规 10 3 3 2 3 2 4 2" xfId="33614"/>
    <cellStyle name="常规 10 3 3 2 3 5 3" xfId="33615"/>
    <cellStyle name="常规 10 3 3 2 4 4 2" xfId="33616"/>
    <cellStyle name="常规 10 3 3 2 5 4 2" xfId="33617"/>
    <cellStyle name="常规 10 3 3 2 8 3" xfId="33618"/>
    <cellStyle name="常规 10 3 3 3 2 2 4 2" xfId="33619"/>
    <cellStyle name="常规 10 3 3 3 2 5 3" xfId="33620"/>
    <cellStyle name="常规 10 3 3 3 3 4 2" xfId="33621"/>
    <cellStyle name="常规 10 3 3 3 6 3" xfId="33622"/>
    <cellStyle name="常规 10 3 3 4 2 4 2" xfId="33623"/>
    <cellStyle name="常规 10 3 3 4 5 3" xfId="33624"/>
    <cellStyle name="常规 10 3 3 5 4 2" xfId="33625"/>
    <cellStyle name="常规 10 3 3 6 4 2" xfId="33626"/>
    <cellStyle name="常规 10 3 3 9 3" xfId="33627"/>
    <cellStyle name="常规 10 3 4 2 2 2 4 3" xfId="33628"/>
    <cellStyle name="常规 10 3 4 2 2 5 3" xfId="33629"/>
    <cellStyle name="常规 10 3 4 2 3 4 3" xfId="33630"/>
    <cellStyle name="常规 10 3 4 2 6 3" xfId="33631"/>
    <cellStyle name="常规 10 3 4 3 2 4 3" xfId="33632"/>
    <cellStyle name="常规 10 3 4 3 5 3" xfId="33633"/>
    <cellStyle name="常规 10 3 4 4 4 3" xfId="33634"/>
    <cellStyle name="常规 10 3 4 5 4 2" xfId="33635"/>
    <cellStyle name="常规 10 3 4 8 3" xfId="33636"/>
    <cellStyle name="常规 10 3 5 2 2 2 4 3" xfId="33637"/>
    <cellStyle name="常规 10 3 5 2 2 5 3" xfId="33638"/>
    <cellStyle name="常规 10 3 5 2 3 4 3" xfId="33639"/>
    <cellStyle name="常规 10 3 5 2 6 3" xfId="33640"/>
    <cellStyle name="常规 10 3 5 3 2 4 3" xfId="33641"/>
    <cellStyle name="常规 10 3 5 3 5 3" xfId="33642"/>
    <cellStyle name="常规 10 3 5 4 4 3" xfId="33643"/>
    <cellStyle name="常规 10 3 5 7 3" xfId="33644"/>
    <cellStyle name="常规 10 3 6 2 2 2 4 2" xfId="33645"/>
    <cellStyle name="常规 10 3 6 2 2 5 3" xfId="33646"/>
    <cellStyle name="常规 10 3 6 2 3 4 2" xfId="33647"/>
    <cellStyle name="常规 10 3 6 2 6 3" xfId="33648"/>
    <cellStyle name="常规 10 3 6 3 2 4 2" xfId="33649"/>
    <cellStyle name="常规 10 3 6 3 5 3" xfId="33650"/>
    <cellStyle name="常规 10 3 6 4 4 2" xfId="33651"/>
    <cellStyle name="常规 10 3 6 7 3" xfId="33652"/>
    <cellStyle name="常规 10 3 7 2 2 4 3" xfId="33653"/>
    <cellStyle name="常规 10 3 7 2 5 3" xfId="33654"/>
    <cellStyle name="常规 10 3 7 3 4 3" xfId="33655"/>
    <cellStyle name="常规 10 3 7 6 3" xfId="33656"/>
    <cellStyle name="常规 10 3 8 2 4 3" xfId="33657"/>
    <cellStyle name="常规 10 3 8 5 3" xfId="33658"/>
    <cellStyle name="常规 10 3 9 2 4 2" xfId="33659"/>
    <cellStyle name="常规 10 3 9 5 2" xfId="33660"/>
    <cellStyle name="常规 10 4 10 4 2" xfId="33661"/>
    <cellStyle name="常规 10 4 13 2" xfId="33662"/>
    <cellStyle name="常规 10 4 2 2 2 2 2 4 2" xfId="33663"/>
    <cellStyle name="常规 10 4 2 2 2 2 5 3" xfId="33664"/>
    <cellStyle name="常规 10 4 2 2 2 3 4 2" xfId="33665"/>
    <cellStyle name="常规 10 4 2 2 2 6 3" xfId="33666"/>
    <cellStyle name="常规 10 4 2 2 3 2 4 2" xfId="33667"/>
    <cellStyle name="常规 10 4 2 2 3 5 3" xfId="33668"/>
    <cellStyle name="常规 10 4 2 2 4 4 2" xfId="33669"/>
    <cellStyle name="常规 10 4 2 2 5 4 2" xfId="33670"/>
    <cellStyle name="常规 10 4 2 2 8 3" xfId="33671"/>
    <cellStyle name="常规 10 4 2 3 2 2 4 2" xfId="33672"/>
    <cellStyle name="常规 10 4 2 3 2 5 3" xfId="33673"/>
    <cellStyle name="常规 10 4 2 3 3 4 2" xfId="33674"/>
    <cellStyle name="常规 10 4 2 3 6 3" xfId="33675"/>
    <cellStyle name="常规 10 4 2 4 2 4 2" xfId="33676"/>
    <cellStyle name="常规 10 4 2 4 5 3" xfId="33677"/>
    <cellStyle name="常规 10 4 2 5 4 2" xfId="33678"/>
    <cellStyle name="常规 10 4 2 6 4 2" xfId="33679"/>
    <cellStyle name="常规 10 4 2 9 3" xfId="33680"/>
    <cellStyle name="常规 10 4 3 2 2 2 4 3" xfId="33681"/>
    <cellStyle name="常规 10 4 3 2 2 5 3" xfId="33682"/>
    <cellStyle name="常规 10 4 3 2 3 4 3" xfId="33683"/>
    <cellStyle name="常规 10 4 3 2 6 3" xfId="33684"/>
    <cellStyle name="常规 10 4 3 3 2 4 3" xfId="33685"/>
    <cellStyle name="常规 10 4 3 3 5 3" xfId="33686"/>
    <cellStyle name="常规 10 4 3 4 4 3" xfId="33687"/>
    <cellStyle name="常规 10 4 3 5 4 2" xfId="33688"/>
    <cellStyle name="常规 10 4 3 8 3" xfId="33689"/>
    <cellStyle name="常规 10 4 4 2 2 2 4 2" xfId="33690"/>
    <cellStyle name="常规 10 4 4 2 2 5 2" xfId="33691"/>
    <cellStyle name="常规 10 4 4 2 3 4 2" xfId="33692"/>
    <cellStyle name="常规 10 4 4 2 6 2" xfId="33693"/>
    <cellStyle name="常规 10 4 4 3 2 4 2" xfId="33694"/>
    <cellStyle name="常规 10 4 4 3 5 2" xfId="33695"/>
    <cellStyle name="常规 10 4 4 4 4 2" xfId="33696"/>
    <cellStyle name="常规 10 4 4 7 2" xfId="33697"/>
    <cellStyle name="常规 10 4 5 2 2 2 4 2" xfId="33698"/>
    <cellStyle name="常规 10 4 5 2 2 5 2" xfId="33699"/>
    <cellStyle name="常规 10 4 5 2 3 4 2" xfId="33700"/>
    <cellStyle name="常规 10 4 5 2 6 2" xfId="33701"/>
    <cellStyle name="常规 10 4 5 3 2 4 2" xfId="33702"/>
    <cellStyle name="常规 10 4 5 3 5 2" xfId="33703"/>
    <cellStyle name="常规 10 4 5 4 4 2" xfId="33704"/>
    <cellStyle name="常规 10 4 5 7 2" xfId="33705"/>
    <cellStyle name="常规 10 4 6 2 2 4 2" xfId="33706"/>
    <cellStyle name="常规 10 4 6 2 5 2" xfId="33707"/>
    <cellStyle name="常规 10 4 6 3 4 2" xfId="33708"/>
    <cellStyle name="常规 10 4 6 6 2" xfId="33709"/>
    <cellStyle name="常规 10 4 7 2 4 2" xfId="33710"/>
    <cellStyle name="常规 10 4 7 5 2" xfId="33711"/>
    <cellStyle name="常规 10 4 8 2 4 2" xfId="33712"/>
    <cellStyle name="常规 10 4 8 5 2" xfId="33713"/>
    <cellStyle name="常规 10 4 9 4 2" xfId="33714"/>
    <cellStyle name="常规 10 5 2 2 2 2 4 2" xfId="33715"/>
    <cellStyle name="常规 10 5 2 2 2 5 3" xfId="33716"/>
    <cellStyle name="常规 10 5 2 2 3 4 2" xfId="33717"/>
    <cellStyle name="常规 10 5 2 2 6 3" xfId="33718"/>
    <cellStyle name="常规 10 5 2 3 2 4 2" xfId="33719"/>
    <cellStyle name="常规 10 5 2 3 5 3" xfId="33720"/>
    <cellStyle name="常规 10 5 2 4 4 2" xfId="33721"/>
    <cellStyle name="常规 10 5 2 5 4 2" xfId="33722"/>
    <cellStyle name="常规 10 5 2 8 3" xfId="33723"/>
    <cellStyle name="常规 10 5 3 2 2 4 2" xfId="33724"/>
    <cellStyle name="常规 10 5 3 2 5 3" xfId="33725"/>
    <cellStyle name="常规 10 5 3 3 4 2" xfId="33726"/>
    <cellStyle name="常规 10 5 3 6 3" xfId="33727"/>
    <cellStyle name="常规 10 5 4 2 4 2" xfId="33728"/>
    <cellStyle name="常规 10 5 4 5 3" xfId="33729"/>
    <cellStyle name="常规 10 5 5 4 2" xfId="33730"/>
    <cellStyle name="常规 10 5 6 4 2" xfId="33731"/>
    <cellStyle name="常规 10 5 9 3" xfId="33732"/>
    <cellStyle name="常规 10 6 2 2 2 4 2" xfId="33733"/>
    <cellStyle name="常规 10 6 2 2 5 2" xfId="33734"/>
    <cellStyle name="常规 10 6 2 3 4 2" xfId="33735"/>
    <cellStyle name="常规 10 6 2 6 2" xfId="33736"/>
    <cellStyle name="常规 10 6 3 2 4 2" xfId="33737"/>
    <cellStyle name="常规 10 6 3 5 2" xfId="33738"/>
    <cellStyle name="常规 10 6 4 4 2" xfId="33739"/>
    <cellStyle name="常规 10 6 5 4 2" xfId="33740"/>
    <cellStyle name="常规 10 6 8 2" xfId="33741"/>
    <cellStyle name="常规 10 7 2 2 2 4 2" xfId="33742"/>
    <cellStyle name="常规 10 7 2 2 5 2" xfId="33743"/>
    <cellStyle name="常规 10 7 2 3 4 2" xfId="33744"/>
    <cellStyle name="常规 10 7 2 6 2" xfId="33745"/>
    <cellStyle name="常规 10 7 3 2 4 2" xfId="33746"/>
    <cellStyle name="常规 10 7 3 5 2" xfId="33747"/>
    <cellStyle name="常规 10 7 4 4 2" xfId="33748"/>
    <cellStyle name="常规 10 7 5 4 2" xfId="33749"/>
    <cellStyle name="常规 10 7 8 2" xfId="33750"/>
    <cellStyle name="常规 10 8 2 2 2 4 2" xfId="33751"/>
    <cellStyle name="常规 10 8 2 2 5 2" xfId="33752"/>
    <cellStyle name="常规 10 8 2 3 4 2" xfId="33753"/>
    <cellStyle name="常规 10 8 2 6 2" xfId="33754"/>
    <cellStyle name="常规 10 8 3 2 4 2" xfId="33755"/>
    <cellStyle name="常规 10 8 3 5 2" xfId="33756"/>
    <cellStyle name="常规 10 8 4 4 2" xfId="33757"/>
    <cellStyle name="常规 10 8 7 2" xfId="33758"/>
    <cellStyle name="常规 10 9 2 2 4 2" xfId="33759"/>
    <cellStyle name="常规 10 9 2 5 2" xfId="33760"/>
    <cellStyle name="常规 10 9 3 4 2" xfId="33761"/>
    <cellStyle name="常规 10 9 6 2" xfId="33762"/>
    <cellStyle name="常规 102 4" xfId="33763"/>
    <cellStyle name="常规 103 3" xfId="33764"/>
    <cellStyle name="常规 105 2" xfId="33765"/>
    <cellStyle name="常规 11 2 19" xfId="33766"/>
    <cellStyle name="常规 11 24" xfId="33767"/>
    <cellStyle name="常规 113" xfId="33768"/>
    <cellStyle name="常规 114" xfId="33769"/>
    <cellStyle name="常规 12 10 8" xfId="33770"/>
    <cellStyle name="常规 12 2 2 2 2 4 3" xfId="33771"/>
    <cellStyle name="常规 12 2 2 2 3 4 3" xfId="33772"/>
    <cellStyle name="常规 12 2 2 2 6 3" xfId="33773"/>
    <cellStyle name="常规 12 2 2 3 4 3" xfId="33774"/>
    <cellStyle name="常规 12 2 2 4 4 3" xfId="33775"/>
    <cellStyle name="常规 12 2 2 7 3" xfId="33776"/>
    <cellStyle name="常规 12 2 3 2 4 3" xfId="33777"/>
    <cellStyle name="常规 12 2 3 3 4 3" xfId="33778"/>
    <cellStyle name="常规 12 2 3 6 3" xfId="33779"/>
    <cellStyle name="常规 12 2 4 4 2" xfId="33780"/>
    <cellStyle name="常规 12 2 5 4 3" xfId="33781"/>
    <cellStyle name="常规 12 2 8 9" xfId="33782"/>
    <cellStyle name="常规 12 3 2 2 2 4 3" xfId="33783"/>
    <cellStyle name="常规 12 3 2 2 5 3" xfId="33784"/>
    <cellStyle name="常规 12 3 2 3 4 3" xfId="33785"/>
    <cellStyle name="常规 12 3 2 6 3" xfId="33786"/>
    <cellStyle name="常规 12 3 3 2 4 3" xfId="33787"/>
    <cellStyle name="常规 12 3 3 3 4 3" xfId="33788"/>
    <cellStyle name="常规 12 3 3 6 3" xfId="33789"/>
    <cellStyle name="常规 12 3 4 4 3" xfId="33790"/>
    <cellStyle name="常规 12 3 5 4 3" xfId="33791"/>
    <cellStyle name="常规 12 3 8 3" xfId="33792"/>
    <cellStyle name="常规 12 4 2 2 4 2" xfId="33793"/>
    <cellStyle name="常规 12 4 2 3 4 2" xfId="33794"/>
    <cellStyle name="常规 12 4 2 6 2" xfId="33795"/>
    <cellStyle name="常规 12 4 3 4 2" xfId="33796"/>
    <cellStyle name="常规 12 4 4 4 2" xfId="33797"/>
    <cellStyle name="常规 12 4 7 2" xfId="33798"/>
    <cellStyle name="常规 12 5 2 4 2" xfId="33799"/>
    <cellStyle name="常规 12 5 6 2" xfId="33800"/>
    <cellStyle name="常规 12 6 2 4 2" xfId="33801"/>
    <cellStyle name="常规 12 6 5 2" xfId="33802"/>
    <cellStyle name="常规 12 7 4 2" xfId="33803"/>
    <cellStyle name="常规 13 2 2 2 2 4 2" xfId="33804"/>
    <cellStyle name="常规 13 2 2 2 5 2" xfId="33805"/>
    <cellStyle name="常规 13 2 2 3 4 2" xfId="33806"/>
    <cellStyle name="常规 13 2 2 6 2" xfId="33807"/>
    <cellStyle name="常规 13 2 3 2 4 3" xfId="33808"/>
    <cellStyle name="常规 13 2 3 3 4 2" xfId="33809"/>
    <cellStyle name="常规 13 2 3 6 3" xfId="33810"/>
    <cellStyle name="常规 13 2 4 4 3" xfId="33811"/>
    <cellStyle name="常规 13 2 5 4 3" xfId="33812"/>
    <cellStyle name="常规 13 2 8 9" xfId="33813"/>
    <cellStyle name="常规 13 3 2 2 4 3" xfId="33814"/>
    <cellStyle name="常规 13 3 2 3 4 2" xfId="33815"/>
    <cellStyle name="常规 13 3 2 6 3" xfId="33816"/>
    <cellStyle name="常规 13 3 3 4 3" xfId="33817"/>
    <cellStyle name="常规 13 3 4 4 3" xfId="33818"/>
    <cellStyle name="常规 13 3 7 9" xfId="33819"/>
    <cellStyle name="常规 13 4 2 4 3" xfId="33820"/>
    <cellStyle name="常规 13 4 6 9" xfId="33821"/>
    <cellStyle name="常规 13 5 2 4 3" xfId="33822"/>
    <cellStyle name="常规 13 5 5 9" xfId="33823"/>
    <cellStyle name="常规 13 6 4 9" xfId="33824"/>
    <cellStyle name="常规 13 9 12" xfId="33825"/>
    <cellStyle name="常规 14 10 8" xfId="33826"/>
    <cellStyle name="常规 14 2 2 2 2 4 3" xfId="33827"/>
    <cellStyle name="常规 14 2 2 2 5 3" xfId="33828"/>
    <cellStyle name="常规 14 2 2 3 4 3" xfId="33829"/>
    <cellStyle name="常规 14 2 2 6 3" xfId="33830"/>
    <cellStyle name="常规 14 2 3 2 2 4 3" xfId="33831"/>
    <cellStyle name="常规 14 2 3 2 5 3" xfId="33832"/>
    <cellStyle name="常规 14 2 3 3 4 3" xfId="33833"/>
    <cellStyle name="常规 14 2 3 6 3" xfId="33834"/>
    <cellStyle name="常规 14 2 4 2 4 3" xfId="33835"/>
    <cellStyle name="常规 14 2 4 3 4 2" xfId="33836"/>
    <cellStyle name="常规 14 2 4 6 3" xfId="33837"/>
    <cellStyle name="常规 14 2 5 4 3" xfId="33838"/>
    <cellStyle name="常规 14 2 6 4 3" xfId="33839"/>
    <cellStyle name="常规 14 2 9 3" xfId="33840"/>
    <cellStyle name="常规 14 3 2 2 4 3" xfId="33841"/>
    <cellStyle name="常规 14 3 2 3 4 3" xfId="33842"/>
    <cellStyle name="常规 14 3 2 6 3" xfId="33843"/>
    <cellStyle name="常规 14 3 3 4 3" xfId="33844"/>
    <cellStyle name="常规 14 3 4 4 3" xfId="33845"/>
    <cellStyle name="常规 14 3 7 3" xfId="33846"/>
    <cellStyle name="常规 14 4 2 2 4 2" xfId="33847"/>
    <cellStyle name="常规 14 4 2 5 2" xfId="33848"/>
    <cellStyle name="常规 14 4 3 4 2" xfId="33849"/>
    <cellStyle name="常规 14 4 6 2" xfId="33850"/>
    <cellStyle name="常规 14 5 2 4 3" xfId="33851"/>
    <cellStyle name="常规 14 5 3 4 3" xfId="33852"/>
    <cellStyle name="常规 14 5 6 3" xfId="33853"/>
    <cellStyle name="常规 14 6 4 3" xfId="33854"/>
    <cellStyle name="常规 14 7 4 3" xfId="33855"/>
    <cellStyle name="常规 17 2 5 3" xfId="33856"/>
    <cellStyle name="常规 17 3 4 3" xfId="33857"/>
    <cellStyle name="常规 17 4 4 3" xfId="33858"/>
    <cellStyle name="常规 17 7 3" xfId="33859"/>
    <cellStyle name="常规 2 10 2 2 2 4 3" xfId="33860"/>
    <cellStyle name="常规 2 10 2 2 5 3" xfId="33861"/>
    <cellStyle name="常规 2 10 2 3 4 3" xfId="33862"/>
    <cellStyle name="常规 2 10 2 4 4 3" xfId="33863"/>
    <cellStyle name="常规 2 10 2 7 3" xfId="33864"/>
    <cellStyle name="常规 2 10 3 2 4 2" xfId="33865"/>
    <cellStyle name="常规 2 10 3 5 3" xfId="33866"/>
    <cellStyle name="常规 2 10 4 4 2" xfId="33867"/>
    <cellStyle name="常规 2 10 5 4 2" xfId="33868"/>
    <cellStyle name="常规 2 10 8 2" xfId="33869"/>
    <cellStyle name="常规 2 12 2 2 2 4 3" xfId="33870"/>
    <cellStyle name="常规 2 12 2 2 5 3" xfId="33871"/>
    <cellStyle name="常规 2 12 2 3 4 3" xfId="33872"/>
    <cellStyle name="常规 2 12 2 6 3" xfId="33873"/>
    <cellStyle name="常规 2 12 3 2 4 3" xfId="33874"/>
    <cellStyle name="常规 2 12 3 5 3" xfId="33875"/>
    <cellStyle name="常规 2 12 4 4 3" xfId="33876"/>
    <cellStyle name="常规 2 12 7 2" xfId="33877"/>
    <cellStyle name="常规 2 13 2 2 2 4 2" xfId="33878"/>
    <cellStyle name="常规 2 13 2 2 5 2" xfId="33879"/>
    <cellStyle name="常规 2 13 2 3 4 2" xfId="33880"/>
    <cellStyle name="常规 2 13 2 6 2" xfId="33881"/>
    <cellStyle name="常规 2 13 3 2 4 2" xfId="33882"/>
    <cellStyle name="常规 2 13 3 5 2" xfId="33883"/>
    <cellStyle name="常规 2 13 4 4 2" xfId="33884"/>
    <cellStyle name="常规 2 13 7 2" xfId="33885"/>
    <cellStyle name="常规 2 18 2 2 4 2" xfId="33886"/>
    <cellStyle name="常规 2 18 2 5 2" xfId="33887"/>
    <cellStyle name="常规 2 18 3 4 2" xfId="33888"/>
    <cellStyle name="常规 2 18 6 2" xfId="33889"/>
    <cellStyle name="常规 2 19 2 4 2" xfId="33890"/>
    <cellStyle name="常规 2 19 5 2" xfId="33891"/>
    <cellStyle name="常规 2 2 10 2 4 2" xfId="33892"/>
    <cellStyle name="常规 2 2 10 5 2" xfId="33893"/>
    <cellStyle name="常规 2 2 13 4 2" xfId="33894"/>
    <cellStyle name="常规 2 2 14 4 2" xfId="33895"/>
    <cellStyle name="常规 2 2 2 10 4 2" xfId="33896"/>
    <cellStyle name="常规 2 2 2 13 3" xfId="33897"/>
    <cellStyle name="常规 2 2 2 15" xfId="33898"/>
    <cellStyle name="常规 2 2 2 2 10 3" xfId="33899"/>
    <cellStyle name="常规 2 2 2 2 2 2 2 2 4 2" xfId="33900"/>
    <cellStyle name="常规 2 2 2 2 2 2 2 3 4 2" xfId="33901"/>
    <cellStyle name="常规 2 2 2 2 2 2 2 6 2" xfId="33902"/>
    <cellStyle name="常规 2 2 2 2 2 2 3 4 2" xfId="33903"/>
    <cellStyle name="常规 2 2 2 2 2 2 4 4 2" xfId="33904"/>
    <cellStyle name="常规 2 2 2 2 2 2 7 2" xfId="33905"/>
    <cellStyle name="常规 2 2 2 2 2 3 2 4 2" xfId="33906"/>
    <cellStyle name="常规 2 2 2 2 2 3 3 4 2" xfId="33907"/>
    <cellStyle name="常规 2 2 2 2 2 3 6 3" xfId="33908"/>
    <cellStyle name="常规 2 2 2 2 2 4 2 4 2" xfId="33909"/>
    <cellStyle name="常规 2 2 2 2 2 4 5 2" xfId="33910"/>
    <cellStyle name="常规 2 2 2 2 2 5 4 2" xfId="33911"/>
    <cellStyle name="常规 2 2 2 2 2 6 4 2" xfId="33912"/>
    <cellStyle name="常规 2 2 2 2 2 9 2" xfId="33913"/>
    <cellStyle name="常规 2 2 2 2 3 2 2 4 3" xfId="33914"/>
    <cellStyle name="常规 2 2 2 2 3 2 3 4 2" xfId="33915"/>
    <cellStyle name="常规 2 2 2 2 3 2 6 3" xfId="33916"/>
    <cellStyle name="常规 2 2 2 2 3 3 4 3" xfId="33917"/>
    <cellStyle name="常规 2 2 2 2 3 4 4 2" xfId="33918"/>
    <cellStyle name="常规 2 2 2 2 3 7 3" xfId="33919"/>
    <cellStyle name="常规 2 2 2 2 4 2 4 3" xfId="33920"/>
    <cellStyle name="常规 2 2 2 2 4 3 4 3" xfId="33921"/>
    <cellStyle name="常规 2 2 2 2 4 6 3" xfId="33922"/>
    <cellStyle name="常规 2 2 2 2 5 2 4 2" xfId="33923"/>
    <cellStyle name="常规 2 2 2 2 5 5 2" xfId="33924"/>
    <cellStyle name="常规 2 2 2 2 6 4 3" xfId="33925"/>
    <cellStyle name="常规 2 2 2 2 7 4 3" xfId="33926"/>
    <cellStyle name="常规 2 2 2 3 2 2 2 4 3" xfId="33927"/>
    <cellStyle name="常规 2 2 2 3 2 2 3 4 2" xfId="33928"/>
    <cellStyle name="常规 2 2 2 3 2 2 6 3" xfId="33929"/>
    <cellStyle name="常规 2 2 2 3 2 3 2 4 2" xfId="33930"/>
    <cellStyle name="常规 2 2 2 3 2 3 5 3" xfId="33931"/>
    <cellStyle name="常规 2 2 2 3 2 4 4 2" xfId="33932"/>
    <cellStyle name="常规 2 2 2 3 2 5 4 2" xfId="33933"/>
    <cellStyle name="常规 2 2 2 3 2 8 3" xfId="33934"/>
    <cellStyle name="常规 2 2 2 3 3 2 2 4 2" xfId="33935"/>
    <cellStyle name="常规 2 2 2 3 3 2 5 3" xfId="33936"/>
    <cellStyle name="常规 2 2 2 3 3 3 4 2" xfId="33937"/>
    <cellStyle name="常规 2 2 2 3 3 6 3" xfId="33938"/>
    <cellStyle name="常规 2 2 2 3 4 2 4 3" xfId="33939"/>
    <cellStyle name="常规 2 2 2 3 4 3 4 2" xfId="33940"/>
    <cellStyle name="常规 2 2 2 3 4 6 3" xfId="33941"/>
    <cellStyle name="常规 2 2 2 3 5 4 3" xfId="33942"/>
    <cellStyle name="常规 2 2 2 3 6 4 2" xfId="33943"/>
    <cellStyle name="常规 2 2 2 3 9 3" xfId="33944"/>
    <cellStyle name="常规 2 2 2 4 2 2 2 4 2" xfId="33945"/>
    <cellStyle name="常规 2 2 2 4 2 2 3 4 2" xfId="33946"/>
    <cellStyle name="常规 2 2 2 4 2 2 6 2" xfId="33947"/>
    <cellStyle name="常规 2 2 2 4 2 3 4 2" xfId="33948"/>
    <cellStyle name="常规 2 2 2 4 2 4 4 2" xfId="33949"/>
    <cellStyle name="常规 2 2 2 4 2 7 2" xfId="33950"/>
    <cellStyle name="常规 2 2 2 4 3 2 4 2" xfId="33951"/>
    <cellStyle name="常规 2 2 2 4 3 3 4 2" xfId="33952"/>
    <cellStyle name="常规 2 2 2 4 3 6 2" xfId="33953"/>
    <cellStyle name="常规 2 2 2 4 4 2 4 2" xfId="33954"/>
    <cellStyle name="常规 2 2 2 4 4 5 2" xfId="33955"/>
    <cellStyle name="常规 2 2 2 4 5 4 2" xfId="33956"/>
    <cellStyle name="常规 2 2 2 4 6 4 2" xfId="33957"/>
    <cellStyle name="常规 2 2 2 4 9 2" xfId="33958"/>
    <cellStyle name="常规 2 2 2 5 2 2 2 4 2" xfId="33959"/>
    <cellStyle name="常规 2 2 2 5 2 2 5 2" xfId="33960"/>
    <cellStyle name="常规 2 2 2 5 2 3 4 2" xfId="33961"/>
    <cellStyle name="常规 2 2 2 5 2 4 4 2" xfId="33962"/>
    <cellStyle name="常规 2 2 2 5 2 7 2" xfId="33963"/>
    <cellStyle name="常规 2 2 2 5 3 2 4 2" xfId="33964"/>
    <cellStyle name="常规 2 2 2 5 3 5 2" xfId="33965"/>
    <cellStyle name="常规 2 2 2 5 4 4 2" xfId="33966"/>
    <cellStyle name="常规 2 2 2 5 5 4 2" xfId="33967"/>
    <cellStyle name="常规 2 2 2 5 8 2" xfId="33968"/>
    <cellStyle name="常规 2 2 2 6 2 2 4 2" xfId="33969"/>
    <cellStyle name="常规 2 2 2 6 2 5 2" xfId="33970"/>
    <cellStyle name="常规 2 2 2 6 3 4 2" xfId="33971"/>
    <cellStyle name="常规 2 2 2 6 4 4 2" xfId="33972"/>
    <cellStyle name="常规 2 2 2 6 7 2" xfId="33973"/>
    <cellStyle name="常规 2 2 2 7 2 4 2" xfId="33974"/>
    <cellStyle name="常规 2 2 2 7 5 3" xfId="33975"/>
    <cellStyle name="常规 2 2 2 8 2 4 2" xfId="33976"/>
    <cellStyle name="常规 2 2 2 8 5 2" xfId="33977"/>
    <cellStyle name="常规 2 2 2 9 4 2" xfId="33978"/>
    <cellStyle name="常规 2 2 20" xfId="33979"/>
    <cellStyle name="常规 2 2 3 10 3" xfId="33980"/>
    <cellStyle name="常规 2 2 3 2 2 2 2 4 2" xfId="33981"/>
    <cellStyle name="常规 2 2 3 2 2 2 3 4 2" xfId="33982"/>
    <cellStyle name="常规 2 2 3 2 2 2 6 2" xfId="33983"/>
    <cellStyle name="常规 2 2 3 2 2 3 2 4 2" xfId="33984"/>
    <cellStyle name="常规 2 2 3 2 2 3 5 3" xfId="33985"/>
    <cellStyle name="常规 2 2 3 2 2 4 4 2" xfId="33986"/>
    <cellStyle name="常规 2 2 3 2 2 5 4 2" xfId="33987"/>
    <cellStyle name="常规 2 2 3 2 2 8 3" xfId="33988"/>
    <cellStyle name="常规 2 2 3 2 3 2 2 4 2" xfId="33989"/>
    <cellStyle name="常规 2 2 3 2 3 2 5 3" xfId="33990"/>
    <cellStyle name="常规 2 2 3 2 3 3 4 2" xfId="33991"/>
    <cellStyle name="常规 2 2 3 2 3 6 3" xfId="33992"/>
    <cellStyle name="常规 2 2 3 2 4 2 4 2" xfId="33993"/>
    <cellStyle name="常规 2 2 3 2 4 3 4 2" xfId="33994"/>
    <cellStyle name="常规 2 2 3 2 4 6 3" xfId="33995"/>
    <cellStyle name="常规 2 2 3 2 5 4 2" xfId="33996"/>
    <cellStyle name="常规 2 2 3 2 6 4 2" xfId="33997"/>
    <cellStyle name="常规 2 2 3 2 9 3" xfId="33998"/>
    <cellStyle name="常规 2 2 3 3 2 2 2 4 2" xfId="33999"/>
    <cellStyle name="常规 2 2 3 3 2 2 5 3" xfId="34000"/>
    <cellStyle name="常规 2 2 3 3 2 3 4 2" xfId="34001"/>
    <cellStyle name="常规 2 2 3 3 2 6 3" xfId="34002"/>
    <cellStyle name="常规 2 2 3 3 3 2 4 3" xfId="34003"/>
    <cellStyle name="常规 2 2 3 3 3 3 4 2" xfId="34004"/>
    <cellStyle name="常规 2 2 3 3 3 6 3" xfId="34005"/>
    <cellStyle name="常规 2 2 3 3 4 4 3" xfId="34006"/>
    <cellStyle name="常规 2 2 3 3 5 4 2" xfId="34007"/>
    <cellStyle name="常规 2 2 3 3 8 3" xfId="34008"/>
    <cellStyle name="常规 2 2 3 4 2 2 4 3" xfId="34009"/>
    <cellStyle name="常规 2 2 3 4 2 5 3" xfId="34010"/>
    <cellStyle name="常规 2 2 3 4 3 4 3" xfId="34011"/>
    <cellStyle name="常规 2 2 3 4 6 2" xfId="34012"/>
    <cellStyle name="常规 2 2 3 5 2 4 2" xfId="34013"/>
    <cellStyle name="常规 2 2 3 5 3 4 2" xfId="34014"/>
    <cellStyle name="常规 2 2 3 5 6 2" xfId="34015"/>
    <cellStyle name="常规 2 2 3 6 4 2" xfId="34016"/>
    <cellStyle name="常规 2 2 3 7 4 3" xfId="34017"/>
    <cellStyle name="常规 2 2 4 2 2 2 2 4 2" xfId="34018"/>
    <cellStyle name="常规 2 2 4 2 2 2 5 2" xfId="34019"/>
    <cellStyle name="常规 2 2 4 2 2 3 4 2" xfId="34020"/>
    <cellStyle name="常规 2 2 4 2 2 6 2" xfId="34021"/>
    <cellStyle name="常规 2 2 4 2 3 2 2 4 2" xfId="34022"/>
    <cellStyle name="常规 2 2 4 2 3 2 5 2" xfId="34023"/>
    <cellStyle name="常规 2 2 4 2 3 3 4 2" xfId="34024"/>
    <cellStyle name="常规 2 2 4 2 3 6 2" xfId="34025"/>
    <cellStyle name="常规 2 2 4 2 4 2 4 2" xfId="34026"/>
    <cellStyle name="常规 2 2 4 2 4 3 4 2" xfId="34027"/>
    <cellStyle name="常规 2 2 4 2 4 6 2" xfId="34028"/>
    <cellStyle name="常规 2 2 4 2 5 4 2" xfId="34029"/>
    <cellStyle name="常规 2 2 4 2 6 4 2" xfId="34030"/>
    <cellStyle name="常规 2 2 4 2 9 2" xfId="34031"/>
    <cellStyle name="常规 2 2 4 3 2 4 2" xfId="34032"/>
    <cellStyle name="常规 2 2 4 3 3 4 2" xfId="34033"/>
    <cellStyle name="常规 2 2 4 4 2 4 2" xfId="34034"/>
    <cellStyle name="常规 2 2 4 4 3 4 2" xfId="34035"/>
    <cellStyle name="常规 2 2 4 4 6 2" xfId="34036"/>
    <cellStyle name="常规 2 2 4 7 2" xfId="34037"/>
    <cellStyle name="常规 2 2 5 2 2 2 4 2" xfId="34038"/>
    <cellStyle name="常规 2 2 5 2 2 3 4 2" xfId="34039"/>
    <cellStyle name="常规 2 2 5 2 2 6 2" xfId="34040"/>
    <cellStyle name="常规 2 2 5 2 3 2 4 2" xfId="34041"/>
    <cellStyle name="常规 2 2 5 2 3 5 2" xfId="34042"/>
    <cellStyle name="常规 2 2 5 2 4 4 2" xfId="34043"/>
    <cellStyle name="常规 2 2 5 2 5 4 2" xfId="34044"/>
    <cellStyle name="常规 2 2 5 2 8 2" xfId="34045"/>
    <cellStyle name="常规 2 2 5 3 2 2 4 2" xfId="34046"/>
    <cellStyle name="常规 2 2 5 3 2 5 2" xfId="34047"/>
    <cellStyle name="常规 2 2 5 3 3 4 2" xfId="34048"/>
    <cellStyle name="常规 2 2 5 3 6 2" xfId="34049"/>
    <cellStyle name="常规 2 2 5 4 2 4 2" xfId="34050"/>
    <cellStyle name="常规 2 2 5 4 3 4 2" xfId="34051"/>
    <cellStyle name="常规 2 2 5 4 6 2" xfId="34052"/>
    <cellStyle name="常规 2 2 5 5 4 2" xfId="34053"/>
    <cellStyle name="常规 2 2 5 6 4 2" xfId="34054"/>
    <cellStyle name="常规 2 2 5 9 2" xfId="34055"/>
    <cellStyle name="常规 2 2 6 2 2 2 4 3" xfId="34056"/>
    <cellStyle name="常规 2 2 6 2 2 3 4 2" xfId="34057"/>
    <cellStyle name="常规 2 2 6 2 2 6 3" xfId="34058"/>
    <cellStyle name="常规 2 2 6 2 3 4 3" xfId="34059"/>
    <cellStyle name="常规 2 2 6 2 4 4 2" xfId="34060"/>
    <cellStyle name="常规 2 2 6 2 7 3" xfId="34061"/>
    <cellStyle name="常规 2 2 6 3 2 4 3" xfId="34062"/>
    <cellStyle name="常规 2 2 6 3 3 4 2" xfId="34063"/>
    <cellStyle name="常规 2 2 6 3 6 3" xfId="34064"/>
    <cellStyle name="常规 2 2 6 4 2 4 2" xfId="34065"/>
    <cellStyle name="常规 2 2 6 4 5 3" xfId="34066"/>
    <cellStyle name="常规 2 2 6 5 4 2" xfId="34067"/>
    <cellStyle name="常规 2 2 6 6 4 2" xfId="34068"/>
    <cellStyle name="常规 2 2 6 9 3" xfId="34069"/>
    <cellStyle name="常规 2 2 7 2 2 4 2" xfId="34070"/>
    <cellStyle name="常规 2 2 7 2 3 4 2" xfId="34071"/>
    <cellStyle name="常规 2 2 7 2 6 2" xfId="34072"/>
    <cellStyle name="常规 2 2 7 3 4 2" xfId="34073"/>
    <cellStyle name="常规 2 2 7 4 4 2" xfId="34074"/>
    <cellStyle name="常规 2 2 7 7 2" xfId="34075"/>
    <cellStyle name="常规 2 2 8 2 4 2" xfId="34076"/>
    <cellStyle name="常规 2 2 8 3 4 2" xfId="34077"/>
    <cellStyle name="常规 2 2 8 6 2" xfId="34078"/>
    <cellStyle name="常规 2 2 9 5 2" xfId="34079"/>
    <cellStyle name="常规 2 20 2 4 2" xfId="34080"/>
    <cellStyle name="常规 2 20 5 2" xfId="34081"/>
    <cellStyle name="常规 2 21 2 4 2" xfId="34082"/>
    <cellStyle name="常规 2 21 5 2" xfId="34083"/>
    <cellStyle name="常规 2 24 4 2" xfId="34084"/>
    <cellStyle name="常规 2 25 4 2" xfId="34085"/>
    <cellStyle name="常规 2 3 15" xfId="34086"/>
    <cellStyle name="常规 2 3 2 6" xfId="34087"/>
    <cellStyle name="常规 2 4 12 3" xfId="34088"/>
    <cellStyle name="常规 2 4 14" xfId="34089"/>
    <cellStyle name="常规 2 4 2 11" xfId="34090"/>
    <cellStyle name="常规 2 4 2 2 2 2 4 2" xfId="34091"/>
    <cellStyle name="常规 2 4 2 2 2 3 4 2" xfId="34092"/>
    <cellStyle name="常规 2 4 2 2 2 6 2" xfId="34093"/>
    <cellStyle name="常规 2 4 2 2 3 4 3" xfId="34094"/>
    <cellStyle name="常规 2 4 2 2 4 4 2" xfId="34095"/>
    <cellStyle name="常规 2 4 2 2 7 3" xfId="34096"/>
    <cellStyle name="常规 2 4 2 3 2 4 3" xfId="34097"/>
    <cellStyle name="常规 2 4 2 3 6 3" xfId="34098"/>
    <cellStyle name="常规 2 4 2 4 2 4 2" xfId="34099"/>
    <cellStyle name="常规 2 4 2 4 5 3" xfId="34100"/>
    <cellStyle name="常规 2 4 2 5 4 2" xfId="34101"/>
    <cellStyle name="常规 2 4 2 8 3" xfId="34102"/>
    <cellStyle name="常规 2 4 3 2 2 2 4 2" xfId="34103"/>
    <cellStyle name="常规 2 4 3 2 2 5 2" xfId="34104"/>
    <cellStyle name="常规 2 4 3 2 3 4 2" xfId="34105"/>
    <cellStyle name="常规 2 4 3 2 6 2" xfId="34106"/>
    <cellStyle name="常规 2 4 3 3 2 4 2" xfId="34107"/>
    <cellStyle name="常规 2 4 3 3 6 3" xfId="34108"/>
    <cellStyle name="常规 2 4 3 4 2 4 2" xfId="34109"/>
    <cellStyle name="常规 2 4 3 4 5 2" xfId="34110"/>
    <cellStyle name="常规 2 4 3 5 4 2" xfId="34111"/>
    <cellStyle name="常规 2 4 3 8 3" xfId="34112"/>
    <cellStyle name="常规 2 4 4 2 2 4 2" xfId="34113"/>
    <cellStyle name="常规 2 4 4 2 3 4 2" xfId="34114"/>
    <cellStyle name="常规 2 4 4 2 6 2" xfId="34115"/>
    <cellStyle name="常规 2 4 4 3 4 2" xfId="34116"/>
    <cellStyle name="常规 2 4 4 4 4 2" xfId="34117"/>
    <cellStyle name="常规 2 4 4 7 2" xfId="34118"/>
    <cellStyle name="常规 2 4 5 2 4 2" xfId="34119"/>
    <cellStyle name="常规 2 4 5 6 2" xfId="34120"/>
    <cellStyle name="常规 2 4 6 5 2" xfId="34121"/>
    <cellStyle name="常规 2 4 8 4 2" xfId="34122"/>
    <cellStyle name="常规 2 4 9 4 2" xfId="34123"/>
    <cellStyle name="常规 2 44" xfId="34124"/>
    <cellStyle name="常规 2 45" xfId="34125"/>
    <cellStyle name="常规 2 46" xfId="34126"/>
    <cellStyle name="常规 2 5 8" xfId="34127"/>
    <cellStyle name="常规 2 6 2 2 2 2 2 4 2" xfId="34128"/>
    <cellStyle name="常规 2 6 2 2 2 2 5 3" xfId="34129"/>
    <cellStyle name="常规 2 6 2 2 2 3 4 2" xfId="34130"/>
    <cellStyle name="常规 2 6 2 2 2 6 3" xfId="34131"/>
    <cellStyle name="常规 2 6 2 2 3 2 4 2" xfId="34132"/>
    <cellStyle name="常规 2 6 2 2 3 5 3" xfId="34133"/>
    <cellStyle name="常规 2 6 2 2 4 4 2" xfId="34134"/>
    <cellStyle name="常规 2 6 2 2 7 3" xfId="34135"/>
    <cellStyle name="常规 2 6 2 3 2 2 4 2" xfId="34136"/>
    <cellStyle name="常规 2 6 2 3 2 5 3" xfId="34137"/>
    <cellStyle name="常规 2 6 2 3 3 4 2" xfId="34138"/>
    <cellStyle name="常规 2 6 2 3 6 3" xfId="34139"/>
    <cellStyle name="常规 2 6 2 4 2 4 3" xfId="34140"/>
    <cellStyle name="常规 2 6 2 4 5 3" xfId="34141"/>
    <cellStyle name="常规 2 6 2 5 4 2" xfId="34142"/>
    <cellStyle name="常规 2 6 2 8 2" xfId="34143"/>
    <cellStyle name="常规 2 6 3 2 2 2 4 2" xfId="34144"/>
    <cellStyle name="常规 2 6 3 2 2 5 2" xfId="34145"/>
    <cellStyle name="常规 2 6 3 2 3 4 2" xfId="34146"/>
    <cellStyle name="常规 2 6 3 2 6 2" xfId="34147"/>
    <cellStyle name="常规 2 6 3 3 2 4 2" xfId="34148"/>
    <cellStyle name="常规 2 6 3 3 5 2" xfId="34149"/>
    <cellStyle name="常规 2 6 3 4 4 2" xfId="34150"/>
    <cellStyle name="常规 2 6 3 7 2" xfId="34151"/>
    <cellStyle name="常规 2 6 4 2 2 2 4 3" xfId="34152"/>
    <cellStyle name="常规 2 6 4 2 2 5 3" xfId="34153"/>
    <cellStyle name="常规 2 6 4 2 3 4 3" xfId="34154"/>
    <cellStyle name="常规 2 6 4 2 6 3" xfId="34155"/>
    <cellStyle name="常规 2 6 4 3 2 4 3" xfId="34156"/>
    <cellStyle name="常规 2 6 4 3 5 3" xfId="34157"/>
    <cellStyle name="常规 2 6 4 4 4 3" xfId="34158"/>
    <cellStyle name="常规 2 6 4 7 3" xfId="34159"/>
    <cellStyle name="常规 2 6 5 2 2 2 4 2" xfId="34160"/>
    <cellStyle name="常规 2 6 5 2 2 5 2" xfId="34161"/>
    <cellStyle name="常规 2 6 5 2 3 4 2" xfId="34162"/>
    <cellStyle name="常规 2 6 5 2 6 2" xfId="34163"/>
    <cellStyle name="常规 2 6 5 3 2 4 2" xfId="34164"/>
    <cellStyle name="常规 2 6 5 3 5 2" xfId="34165"/>
    <cellStyle name="常规 2 6 5 4 4 2" xfId="34166"/>
    <cellStyle name="常规 2 6 5 7 2" xfId="34167"/>
    <cellStyle name="常规 2 6 6 2 2 4 2" xfId="34168"/>
    <cellStyle name="常规 2 6 6 2 5 2" xfId="34169"/>
    <cellStyle name="常规 2 6 6 3 4 2" xfId="34170"/>
    <cellStyle name="常规 2 6 6 6 2" xfId="34171"/>
    <cellStyle name="常规 2 6 7 2 4 2" xfId="34172"/>
    <cellStyle name="常规 2 6 7 5 2" xfId="34173"/>
    <cellStyle name="常规 2 6 8 2 4 2" xfId="34174"/>
    <cellStyle name="常规 2 6 8 5 2" xfId="34175"/>
    <cellStyle name="常规 2 7 2 2 2 2 4 2" xfId="34176"/>
    <cellStyle name="常规 2 7 2 2 2 5 2" xfId="34177"/>
    <cellStyle name="常规 2 7 2 2 3 4 3" xfId="34178"/>
    <cellStyle name="常规 2 7 2 2 6 3" xfId="34179"/>
    <cellStyle name="常规 2 7 2 3 2 4 3" xfId="34180"/>
    <cellStyle name="常规 2 7 2 3 5 3" xfId="34181"/>
    <cellStyle name="常规 2 7 2 4 4 3" xfId="34182"/>
    <cellStyle name="常规 2 7 2 7 3" xfId="34183"/>
    <cellStyle name="常规 2 7 3 2 2 4 3" xfId="34184"/>
    <cellStyle name="常规 2 7 3 2 5 3" xfId="34185"/>
    <cellStyle name="常规 2 7 3 3 4 3" xfId="34186"/>
    <cellStyle name="常规 2 7 3 6 3" xfId="34187"/>
    <cellStyle name="常规 2 7 4 2 4 2" xfId="34188"/>
    <cellStyle name="常规 2 7 4 5 2" xfId="34189"/>
    <cellStyle name="常规 2 7 5 2 4 2" xfId="34190"/>
    <cellStyle name="常规 2 7 5 5 2" xfId="34191"/>
    <cellStyle name="常规 2 8 2 2 2 4 2" xfId="34192"/>
    <cellStyle name="常规 2 8 2 2 3 4 2" xfId="34193"/>
    <cellStyle name="常规 2 8 2 2 6 2" xfId="34194"/>
    <cellStyle name="常规 2 8 2 3 4 2" xfId="34195"/>
    <cellStyle name="常规 2 8 2 4 4 2" xfId="34196"/>
    <cellStyle name="常规 2 8 2 7 2" xfId="34197"/>
    <cellStyle name="常规 2 8 3 2 4 2" xfId="34198"/>
    <cellStyle name="常规 2 8 3 6 2" xfId="34199"/>
    <cellStyle name="常规 2 8 4 2 4 2" xfId="34200"/>
    <cellStyle name="常规 2 8 4 5 2" xfId="34201"/>
    <cellStyle name="常规 2 8 5 4 2" xfId="34202"/>
    <cellStyle name="常规 2 8 8 2" xfId="34203"/>
    <cellStyle name="常规 2 9 2 2 4 2" xfId="34204"/>
    <cellStyle name="常规 2 9 2 6 2" xfId="34205"/>
    <cellStyle name="常规 2 9 3 2 4 2" xfId="34206"/>
    <cellStyle name="常规 2 9 3 5 2" xfId="34207"/>
    <cellStyle name="常规 2 9 4 4 2" xfId="34208"/>
    <cellStyle name="常规 2 9 7 2" xfId="34209"/>
    <cellStyle name="常规 28 2 2 2 4 2" xfId="34210"/>
    <cellStyle name="常规 28 2 2 5 2" xfId="34211"/>
    <cellStyle name="常规 28 2 3 4 2" xfId="34212"/>
    <cellStyle name="常规 28 2 6 3" xfId="34213"/>
    <cellStyle name="常规 28 3 2 4 2" xfId="34214"/>
    <cellStyle name="常规 28 3 5 2" xfId="34215"/>
    <cellStyle name="常规 28 4 4 2" xfId="34216"/>
    <cellStyle name="常规 28 7 3" xfId="34217"/>
    <cellStyle name="常规 3 12" xfId="34218"/>
    <cellStyle name="常规 3 2 10 4 2" xfId="34219"/>
    <cellStyle name="常规 3 2 11 4 2" xfId="34220"/>
    <cellStyle name="常规 3 2 13" xfId="34221"/>
    <cellStyle name="常规 3 2 2 10 3" xfId="34222"/>
    <cellStyle name="常规 3 2 2 13" xfId="34223"/>
    <cellStyle name="常规 3 2 2 2 2 2 2 4 2" xfId="34224"/>
    <cellStyle name="常规 3 2 2 2 2 2 3 4 2" xfId="34225"/>
    <cellStyle name="常规 3 2 2 2 2 2 6 3" xfId="34226"/>
    <cellStyle name="常规 3 2 2 2 2 3 4 2" xfId="34227"/>
    <cellStyle name="常规 3 2 2 2 2 4 4 2" xfId="34228"/>
    <cellStyle name="常规 3 2 2 2 2 7 3" xfId="34229"/>
    <cellStyle name="常规 3 2 2 2 3 2 4 3" xfId="34230"/>
    <cellStyle name="常规 3 2 2 2 3 3 4 2" xfId="34231"/>
    <cellStyle name="常规 3 2 2 2 3 6 3" xfId="34232"/>
    <cellStyle name="常规 3 2 2 2 4 4 3" xfId="34233"/>
    <cellStyle name="常规 3 2 2 2 5 4 2" xfId="34234"/>
    <cellStyle name="常规 3 2 2 2 8 3" xfId="34235"/>
    <cellStyle name="常规 3 2 2 3 2 2 2 4 2" xfId="34236"/>
    <cellStyle name="常规 3 2 2 3 2 2 5 2" xfId="34237"/>
    <cellStyle name="常规 3 2 2 3 2 3 4 2" xfId="34238"/>
    <cellStyle name="常规 3 2 2 3 2 6 2" xfId="34239"/>
    <cellStyle name="常规 3 2 2 3 3 2 4 2" xfId="34240"/>
    <cellStyle name="常规 3 2 2 3 3 3 4 2" xfId="34241"/>
    <cellStyle name="常规 3 2 2 3 3 6 3" xfId="34242"/>
    <cellStyle name="常规 3 2 2 3 4 4 2" xfId="34243"/>
    <cellStyle name="常规 3 2 2 3 5 4 2" xfId="34244"/>
    <cellStyle name="常规 3 2 2 3 8 3" xfId="34245"/>
    <cellStyle name="常规 3 2 2 4 2 2 4 2" xfId="34246"/>
    <cellStyle name="常规 3 2 2 4 2 3 4 2" xfId="34247"/>
    <cellStyle name="常规 3 2 2 4 2 6 2" xfId="34248"/>
    <cellStyle name="常规 3 2 2 4 3 4 2" xfId="34249"/>
    <cellStyle name="常规 3 2 2 4 4 4 2" xfId="34250"/>
    <cellStyle name="常规 3 2 2 4 7 2" xfId="34251"/>
    <cellStyle name="常规 3 2 2 5 2 2 4 2" xfId="34252"/>
    <cellStyle name="常规 3 2 2 5 2 5 2" xfId="34253"/>
    <cellStyle name="常规 3 2 2 5 3 4 2" xfId="34254"/>
    <cellStyle name="常规 3 2 2 5 6 2" xfId="34255"/>
    <cellStyle name="常规 3 2 2 6 2 4 2" xfId="34256"/>
    <cellStyle name="常规 3 2 2 6 5 3" xfId="34257"/>
    <cellStyle name="常规 3 2 2 7 4 2" xfId="34258"/>
    <cellStyle name="常规 3 2 3 2 2 2 2 4 2" xfId="34259"/>
    <cellStyle name="常规 3 2 3 2 2 2 5 2" xfId="34260"/>
    <cellStyle name="常规 3 2 3 2 2 3 4 3" xfId="34261"/>
    <cellStyle name="常规 3 2 3 2 2 6 3" xfId="34262"/>
    <cellStyle name="常规 3 2 3 2 3 2 4 3" xfId="34263"/>
    <cellStyle name="常规 3 2 3 2 3 3 4 2" xfId="34264"/>
    <cellStyle name="常规 3 2 3 2 3 6 3" xfId="34265"/>
    <cellStyle name="常规 3 2 3 2 4 4 3" xfId="34266"/>
    <cellStyle name="常规 3 2 3 2 5 4 2" xfId="34267"/>
    <cellStyle name="常规 3 2 3 2 8 3" xfId="34268"/>
    <cellStyle name="常规 3 2 3 3 2 2 4 2" xfId="34269"/>
    <cellStyle name="常规 3 2 3 3 2 3 4 2" xfId="34270"/>
    <cellStyle name="常规 3 2 3 3 2 6 2" xfId="34271"/>
    <cellStyle name="常规 3 2 3 3 3 4 3" xfId="34272"/>
    <cellStyle name="常规 3 2 3 3 4 4 2" xfId="34273"/>
    <cellStyle name="常规 3 2 3 3 7 3" xfId="34274"/>
    <cellStyle name="常规 3 2 3 4 2 4 2" xfId="34275"/>
    <cellStyle name="常规 3 2 3 4 3 4 2" xfId="34276"/>
    <cellStyle name="常规 3 2 3 4 6 2" xfId="34277"/>
    <cellStyle name="常规 3 2 3 5 4 2" xfId="34278"/>
    <cellStyle name="常规 3 2 3 6 4 3" xfId="34279"/>
    <cellStyle name="常规 3 2 3 9 3" xfId="34280"/>
    <cellStyle name="常规 3 2 4 2 2 2 2 4 2" xfId="34281"/>
    <cellStyle name="常规 3 2 4 2 2 2 5 2" xfId="34282"/>
    <cellStyle name="常规 3 2 4 2 2 3 4 2" xfId="34283"/>
    <cellStyle name="常规 3 2 4 2 2 6 2" xfId="34284"/>
    <cellStyle name="常规 3 2 4 2 3 2 4 2" xfId="34285"/>
    <cellStyle name="常规 3 2 4 2 3 3 4 2" xfId="34286"/>
    <cellStyle name="常规 3 2 4 2 3 6 3" xfId="34287"/>
    <cellStyle name="常规 3 2 4 2 4 4 2" xfId="34288"/>
    <cellStyle name="常规 3 2 4 2 5 4 2" xfId="34289"/>
    <cellStyle name="常规 3 2 4 2 8 3" xfId="34290"/>
    <cellStyle name="常规 3 2 4 4 4 3" xfId="34291"/>
    <cellStyle name="常规 3 2 4 7 3" xfId="34292"/>
    <cellStyle name="常规 3 2 5 2 2 2 4 2" xfId="34293"/>
    <cellStyle name="常规 3 2 5 2 2 3 4 2" xfId="34294"/>
    <cellStyle name="常规 3 2 5 2 2 6 2" xfId="34295"/>
    <cellStyle name="常规 3 2 5 2 3 4 2" xfId="34296"/>
    <cellStyle name="常规 3 2 5 2 4 4 2" xfId="34297"/>
    <cellStyle name="常规 3 2 5 2 7 2" xfId="34298"/>
    <cellStyle name="常规 3 2 5 3 2 4 2" xfId="34299"/>
    <cellStyle name="常规 3 2 5 3 3 4 2" xfId="34300"/>
    <cellStyle name="常规 3 2 5 3 6 2" xfId="34301"/>
    <cellStyle name="常规 3 2 5 4 4 2" xfId="34302"/>
    <cellStyle name="常规 3 2 5 5 4 2" xfId="34303"/>
    <cellStyle name="常规 3 2 5 8 2" xfId="34304"/>
    <cellStyle name="常规 3 2 6 2 2 2 4 2" xfId="34305"/>
    <cellStyle name="常规 3 2 6 2 2 5 2" xfId="34306"/>
    <cellStyle name="常规 3 2 6 2 3 4 2" xfId="34307"/>
    <cellStyle name="常规 3 2 6 2 6 2" xfId="34308"/>
    <cellStyle name="常规 3 2 6 3 2 4 2" xfId="34309"/>
    <cellStyle name="常规 3 2 6 3 3 4 2" xfId="34310"/>
    <cellStyle name="常规 3 2 6 3 6 2" xfId="34311"/>
    <cellStyle name="常规 3 2 6 4 4 2" xfId="34312"/>
    <cellStyle name="常规 3 2 6 5 4 2" xfId="34313"/>
    <cellStyle name="常规 3 2 6 8 2" xfId="34314"/>
    <cellStyle name="常规 3 2 7 2 2 4 2" xfId="34315"/>
    <cellStyle name="常规 3 2 7 2 3 4 2" xfId="34316"/>
    <cellStyle name="常规 3 2 7 2 6 2" xfId="34317"/>
    <cellStyle name="常规 3 2 7 3 4 2" xfId="34318"/>
    <cellStyle name="常规 3 2 7 4 4 2" xfId="34319"/>
    <cellStyle name="常规 3 2 7 7 2" xfId="34320"/>
    <cellStyle name="常规 3 2 8 2 4 2" xfId="34321"/>
    <cellStyle name="常规 3 2 8 6 2" xfId="34322"/>
    <cellStyle name="常规 3 2 9 2 4 2" xfId="34323"/>
    <cellStyle name="常规 3 2 9 5 2" xfId="34324"/>
    <cellStyle name="常规 3 3 2 2 4" xfId="34325"/>
    <cellStyle name="常规 3 3 2 6" xfId="34326"/>
    <cellStyle name="常规 3 3 3 2 4 2" xfId="34327"/>
    <cellStyle name="常规 3 3 3 5 2" xfId="34328"/>
    <cellStyle name="常规 3 3 3 8" xfId="34329"/>
    <cellStyle name="常规 3 3 7" xfId="34330"/>
    <cellStyle name="常规 3 4 2 2 3" xfId="34331"/>
    <cellStyle name="常规 3 4 2 6" xfId="34332"/>
    <cellStyle name="常规 3 4 3 4" xfId="34333"/>
    <cellStyle name="常规 3 4 6" xfId="34334"/>
    <cellStyle name="常规 3 5 5" xfId="34335"/>
    <cellStyle name="常规 3 6 13" xfId="34336"/>
    <cellStyle name="常规 30 2 2 2 4 2" xfId="34337"/>
    <cellStyle name="常规 30 2 2 5 2" xfId="34338"/>
    <cellStyle name="常规 30 2 3 4 2" xfId="34339"/>
    <cellStyle name="常规 30 2 6 2" xfId="34340"/>
    <cellStyle name="常规 30 3 2 4 2" xfId="34341"/>
    <cellStyle name="常规 30 3 5 2" xfId="34342"/>
    <cellStyle name="常规 30 4 4 2" xfId="34343"/>
    <cellStyle name="常规 30 7 2" xfId="34344"/>
    <cellStyle name="常规 32 2 2 4 2" xfId="34345"/>
    <cellStyle name="常规 32 2 5 2" xfId="34346"/>
    <cellStyle name="常规 32 3 4 3" xfId="34347"/>
    <cellStyle name="常规 32 6 3" xfId="34348"/>
    <cellStyle name="常规 33 2 4 2" xfId="34349"/>
    <cellStyle name="常规 33 5 2" xfId="34350"/>
    <cellStyle name="常规 36 2 4 2" xfId="34351"/>
    <cellStyle name="常规 36 5 2" xfId="34352"/>
    <cellStyle name="常规 4 12 4 2" xfId="34353"/>
    <cellStyle name="常规 4 13 4 2" xfId="34354"/>
    <cellStyle name="常规 4 18" xfId="34355"/>
    <cellStyle name="常规 4 2 10 8" xfId="34356"/>
    <cellStyle name="常规 4 2 19" xfId="34357"/>
    <cellStyle name="常规 4 2 2 16" xfId="34358"/>
    <cellStyle name="常规 4 2 2 2 2 2 4 2" xfId="34359"/>
    <cellStyle name="常规 4 2 2 2 2 3 4 2" xfId="34360"/>
    <cellStyle name="常规 4 2 2 2 2 6 3" xfId="34361"/>
    <cellStyle name="常规 4 2 2 2 3 4 3" xfId="34362"/>
    <cellStyle name="常规 4 2 2 2 4 4 3" xfId="34363"/>
    <cellStyle name="常规 4 2 2 2 7 3" xfId="34364"/>
    <cellStyle name="常规 4 2 2 3 2 4 2" xfId="34365"/>
    <cellStyle name="常规 4 2 2 3 3 4 2" xfId="34366"/>
    <cellStyle name="常规 4 2 2 3 6 3" xfId="34367"/>
    <cellStyle name="常规 4 2 2 4 4 2" xfId="34368"/>
    <cellStyle name="常规 4 2 2 5 4 2" xfId="34369"/>
    <cellStyle name="常规 4 2 2 8 8" xfId="34370"/>
    <cellStyle name="常规 4 2 3 2 2 2 4 2" xfId="34371"/>
    <cellStyle name="常规 4 2 3 2 2 5 3" xfId="34372"/>
    <cellStyle name="常规 4 2 3 2 3 4 2" xfId="34373"/>
    <cellStyle name="常规 4 2 3 2 6 3" xfId="34374"/>
    <cellStyle name="常规 4 2 3 3 2 4 2" xfId="34375"/>
    <cellStyle name="常规 4 2 3 3 3 4 2" xfId="34376"/>
    <cellStyle name="常规 4 2 3 3 6 3" xfId="34377"/>
    <cellStyle name="常规 4 2 3 4 4 3" xfId="34378"/>
    <cellStyle name="常规 4 2 3 5 4 3" xfId="34379"/>
    <cellStyle name="常规 4 2 3 8 3" xfId="34380"/>
    <cellStyle name="常规 4 2 4 2 2 4 2" xfId="34381"/>
    <cellStyle name="常规 4 2 4 2 3 4 2" xfId="34382"/>
    <cellStyle name="常规 4 2 4 2 6 3" xfId="34383"/>
    <cellStyle name="常规 4 2 4 3 4 2" xfId="34384"/>
    <cellStyle name="常规 4 2 4 4 4 2" xfId="34385"/>
    <cellStyle name="常规 4 2 4 7 3" xfId="34386"/>
    <cellStyle name="常规 4 2 5 2 4 2" xfId="34387"/>
    <cellStyle name="常规 4 2 5 3 4 2" xfId="34388"/>
    <cellStyle name="常规 4 2 5 6 3" xfId="34389"/>
    <cellStyle name="常规 4 2 6 4 2" xfId="34390"/>
    <cellStyle name="常规 4 2 7 4 2" xfId="34391"/>
    <cellStyle name="常规 4 3 10 3" xfId="34392"/>
    <cellStyle name="常规 4 3 15" xfId="34393"/>
    <cellStyle name="常规 4 3 2 12" xfId="34394"/>
    <cellStyle name="常规 4 3 2 2 11" xfId="34395"/>
    <cellStyle name="常规 4 3 2 2 2 2 4 2" xfId="34396"/>
    <cellStyle name="常规 4 3 2 2 2 3 4 2" xfId="34397"/>
    <cellStyle name="常规 4 3 2 2 2 6 3" xfId="34398"/>
    <cellStyle name="常规 4 3 2 2 2 9" xfId="34399"/>
    <cellStyle name="常规 4 3 2 2 3 4 3" xfId="34400"/>
    <cellStyle name="常规 4 3 2 2 4 4 2" xfId="34401"/>
    <cellStyle name="常规 4 3 2 2 7 3" xfId="34402"/>
    <cellStyle name="常规 4 3 2 3 10" xfId="34403"/>
    <cellStyle name="常规 4 3 2 3 2 4 3" xfId="34404"/>
    <cellStyle name="常规 4 3 2 3 3 4 2" xfId="34405"/>
    <cellStyle name="常规 4 3 2 3 6 3" xfId="34406"/>
    <cellStyle name="常规 4 3 2 4 4 3" xfId="34407"/>
    <cellStyle name="常规 4 3 2 5 4 3" xfId="34408"/>
    <cellStyle name="常规 4 3 2 8 3" xfId="34409"/>
    <cellStyle name="常规 4 3 3 12" xfId="34410"/>
    <cellStyle name="常规 4 3 3 2 2 2 4 2" xfId="34411"/>
    <cellStyle name="常规 4 3 3 2 2 5 2" xfId="34412"/>
    <cellStyle name="常规 4 3 3 2 3 4 2" xfId="34413"/>
    <cellStyle name="常规 4 3 3 2 6 2" xfId="34414"/>
    <cellStyle name="常规 4 3 3 3 2 4 2" xfId="34415"/>
    <cellStyle name="常规 4 3 3 3 3 4 2" xfId="34416"/>
    <cellStyle name="常规 4 3 3 3 6 3" xfId="34417"/>
    <cellStyle name="常规 4 3 3 4 4 3" xfId="34418"/>
    <cellStyle name="常规 4 3 3 5 4 2" xfId="34419"/>
    <cellStyle name="常规 4 3 3 8 3" xfId="34420"/>
    <cellStyle name="常规 4 3 4 2 2 4 2" xfId="34421"/>
    <cellStyle name="常规 4 3 4 2 3 4 2" xfId="34422"/>
    <cellStyle name="常规 4 3 4 2 6 2" xfId="34423"/>
    <cellStyle name="常规 4 3 4 3 4 2" xfId="34424"/>
    <cellStyle name="常规 4 3 4 4 4 2" xfId="34425"/>
    <cellStyle name="常规 4 3 4 7 2" xfId="34426"/>
    <cellStyle name="常规 4 3 5 2 4 2" xfId="34427"/>
    <cellStyle name="常规 4 3 5 3 4 2" xfId="34428"/>
    <cellStyle name="常规 4 3 5 6 2" xfId="34429"/>
    <cellStyle name="常规 4 3 6 4 3" xfId="34430"/>
    <cellStyle name="常规 4 3 7 4 3" xfId="34431"/>
    <cellStyle name="常规 4 4 13" xfId="34432"/>
    <cellStyle name="常规 4 5 15" xfId="34433"/>
    <cellStyle name="常规 4 5 2 2 2 2 4 2" xfId="34434"/>
    <cellStyle name="常规 4 5 2 2 2 5 3" xfId="34435"/>
    <cellStyle name="常规 4 5 2 2 3 4 2" xfId="34436"/>
    <cellStyle name="常规 4 5 2 2 6 3" xfId="34437"/>
    <cellStyle name="常规 4 5 2 3 2 4 3" xfId="34438"/>
    <cellStyle name="常规 4 5 2 3 3 4 2" xfId="34439"/>
    <cellStyle name="常规 4 5 2 3 6 3" xfId="34440"/>
    <cellStyle name="常规 4 5 2 4 4 3" xfId="34441"/>
    <cellStyle name="常规 4 5 2 5 4 3" xfId="34442"/>
    <cellStyle name="常规 4 5 2 8 3" xfId="34443"/>
    <cellStyle name="常规 4 5 3 2 2 4 2" xfId="34444"/>
    <cellStyle name="常规 4 5 3 2 3 4 2" xfId="34445"/>
    <cellStyle name="常规 4 5 3 2 6 2" xfId="34446"/>
    <cellStyle name="常规 4 5 3 3 4 3" xfId="34447"/>
    <cellStyle name="常规 4 5 3 4 4 2" xfId="34448"/>
    <cellStyle name="常规 4 5 3 7 3" xfId="34449"/>
    <cellStyle name="常规 4 5 4 2 4 2" xfId="34450"/>
    <cellStyle name="常规 4 5 4 3 4 2" xfId="34451"/>
    <cellStyle name="常规 4 5 4 6 2" xfId="34452"/>
    <cellStyle name="常规 4 5 5 4 2" xfId="34453"/>
    <cellStyle name="常规 4 5 6 4 3" xfId="34454"/>
    <cellStyle name="常规 4 5 9 3" xfId="34455"/>
    <cellStyle name="常规 4 6 11" xfId="34456"/>
    <cellStyle name="常规 4 6 2 2 2 4 2" xfId="34457"/>
    <cellStyle name="常规 4 6 2 2 3 4 2" xfId="34458"/>
    <cellStyle name="常规 4 6 2 2 6 2" xfId="34459"/>
    <cellStyle name="常规 4 6 2 3 4 2" xfId="34460"/>
    <cellStyle name="常规 4 6 2 4 4 2" xfId="34461"/>
    <cellStyle name="常规 4 6 2 7 2" xfId="34462"/>
    <cellStyle name="常规 4 6 3 2 4 2" xfId="34463"/>
    <cellStyle name="常规 4 6 3 3 4 2" xfId="34464"/>
    <cellStyle name="常规 4 6 3 6 2" xfId="34465"/>
    <cellStyle name="常规 4 6 4 4 2" xfId="34466"/>
    <cellStyle name="常规 4 6 5 4 2" xfId="34467"/>
    <cellStyle name="常规 4 6 8 2" xfId="34468"/>
    <cellStyle name="常规 4 7 2 2 2 4 2" xfId="34469"/>
    <cellStyle name="常规 4 7 2 2 3 4 2" xfId="34470"/>
    <cellStyle name="常规 4 7 2 2 6 2" xfId="34471"/>
    <cellStyle name="常规 4 7 2 3 4 2" xfId="34472"/>
    <cellStyle name="常规 4 7 2 4 4 2" xfId="34473"/>
    <cellStyle name="常规 4 7 2 7 2" xfId="34474"/>
    <cellStyle name="常规 4 7 3 2 4 2" xfId="34475"/>
    <cellStyle name="常规 4 7 3 3 4 2" xfId="34476"/>
    <cellStyle name="常规 4 7 3 6 2" xfId="34477"/>
    <cellStyle name="常规 4 7 4 4 2" xfId="34478"/>
    <cellStyle name="常规 4 7 5 4 2" xfId="34479"/>
    <cellStyle name="常规 4 7 8 2" xfId="34480"/>
    <cellStyle name="常规 4 8 2 2 4 2" xfId="34481"/>
    <cellStyle name="常规 4 8 2 3 4 2" xfId="34482"/>
    <cellStyle name="常规 4 8 2 6 2" xfId="34483"/>
    <cellStyle name="常规 4 8 3 4 2" xfId="34484"/>
    <cellStyle name="常规 4 8 4 4 2" xfId="34485"/>
    <cellStyle name="常规 4 8 7 2" xfId="34486"/>
    <cellStyle name="常规 4 9 2 4 2" xfId="34487"/>
    <cellStyle name="常规 4 9 6 2" xfId="34488"/>
    <cellStyle name="常规 48 4 2" xfId="34489"/>
    <cellStyle name="常规 49 4 2" xfId="34490"/>
    <cellStyle name="常规 5 17" xfId="34491"/>
    <cellStyle name="常规 5 2 15" xfId="34492"/>
    <cellStyle name="常规 50 4 2" xfId="34493"/>
    <cellStyle name="常规 51 4 2" xfId="34494"/>
    <cellStyle name="常规 52 4 2" xfId="34495"/>
    <cellStyle name="常规 53 4 2" xfId="34496"/>
    <cellStyle name="常规 54 4 2" xfId="34497"/>
    <cellStyle name="常规 55 4 2" xfId="34498"/>
    <cellStyle name="常规 56 4 2" xfId="34499"/>
    <cellStyle name="常规 6 10 4 9" xfId="34500"/>
    <cellStyle name="常规 6 2 2 2 2 4 2" xfId="34501"/>
    <cellStyle name="常规 6 2 2 2 2 6" xfId="34502"/>
    <cellStyle name="常规 6 2 2 2 20" xfId="34503"/>
    <cellStyle name="常规 6 2 2 2 3 4 3" xfId="34504"/>
    <cellStyle name="常规 6 2 2 2 6 9" xfId="34505"/>
    <cellStyle name="常规 6 2 2 27" xfId="34506"/>
    <cellStyle name="常规 6 2 2 3 12" xfId="34507"/>
    <cellStyle name="常规 6 2 2 3 4 9" xfId="34508"/>
    <cellStyle name="常规 6 2 2 4 4 9" xfId="34509"/>
    <cellStyle name="常规 6 2 2 7 14" xfId="34510"/>
    <cellStyle name="常规 6 2 28" xfId="34511"/>
    <cellStyle name="常规 6 2 3 2 4 2" xfId="34512"/>
    <cellStyle name="常规 6 2 3 2 6" xfId="34513"/>
    <cellStyle name="常规 6 2 3 20" xfId="34514"/>
    <cellStyle name="常规 6 2 3 3 4 3" xfId="34515"/>
    <cellStyle name="常规 6 2 3 6 9" xfId="34516"/>
    <cellStyle name="常规 6 2 4 12" xfId="34517"/>
    <cellStyle name="常规 6 2 4 4 9" xfId="34518"/>
    <cellStyle name="常规 6 2 5 4 9" xfId="34519"/>
    <cellStyle name="常规 6 2 8 14" xfId="34520"/>
    <cellStyle name="常规 6 24" xfId="34521"/>
    <cellStyle name="常规 6 25" xfId="34522"/>
    <cellStyle name="常规 6 3 19" xfId="34523"/>
    <cellStyle name="常规 6 3 2 13" xfId="34524"/>
    <cellStyle name="常规 6 3 2 2 10" xfId="34525"/>
    <cellStyle name="常规 6 3 2 2 2 4 3" xfId="34526"/>
    <cellStyle name="常规 6 3 2 2 5 3" xfId="34527"/>
    <cellStyle name="常规 6 3 2 3 4 3" xfId="34528"/>
    <cellStyle name="常规 6 3 2 6 9" xfId="34529"/>
    <cellStyle name="常规 6 3 3 18" xfId="34530"/>
    <cellStyle name="常规 6 3 3 2 4 3" xfId="34531"/>
    <cellStyle name="常规 6 3 3 3 4 3" xfId="34532"/>
    <cellStyle name="常规 6 3 3 6 9" xfId="34533"/>
    <cellStyle name="常规 6 3 4 4 9" xfId="34534"/>
    <cellStyle name="常规 6 3 5 4 9" xfId="34535"/>
    <cellStyle name="常规 6 3 8 13" xfId="34536"/>
    <cellStyle name="常规 6 4 15" xfId="34537"/>
    <cellStyle name="常规 6 4 2 4" xfId="34538"/>
    <cellStyle name="常规 6 5 14" xfId="34539"/>
    <cellStyle name="常规 6 5 2 2 4 3" xfId="34540"/>
    <cellStyle name="常规 6 5 2 3 4 2" xfId="34541"/>
    <cellStyle name="常规 6 5 2 6 3" xfId="34542"/>
    <cellStyle name="常规 6 5 3 4 3" xfId="34543"/>
    <cellStyle name="常规 6 5 4 4 3" xfId="34544"/>
    <cellStyle name="常规 6 5 7 9" xfId="34545"/>
    <cellStyle name="常规 6 6 2 4 3" xfId="34546"/>
    <cellStyle name="常规 6 6 6 9" xfId="34547"/>
    <cellStyle name="常规 6 7 5 9" xfId="34548"/>
    <cellStyle name="常规 6 8 2 4 3" xfId="34549"/>
    <cellStyle name="常规 6 8 5 9" xfId="34550"/>
    <cellStyle name="常规 6 9 4 9" xfId="34551"/>
    <cellStyle name="常规 60 4 2" xfId="34552"/>
    <cellStyle name="常规 66 4 2" xfId="34553"/>
    <cellStyle name="常规 67 4 2" xfId="34554"/>
    <cellStyle name="常规 68 4 2" xfId="34555"/>
    <cellStyle name="常规 69 4 2" xfId="34556"/>
    <cellStyle name="常规 7 12 3" xfId="34557"/>
    <cellStyle name="常规 7 18" xfId="34558"/>
    <cellStyle name="常规 7 2 14" xfId="34559"/>
    <cellStyle name="常规 7 2 2 2 2 4 2" xfId="34560"/>
    <cellStyle name="常规 7 2 2 2 3 4 2" xfId="34561"/>
    <cellStyle name="常规 7 2 2 2 6 2" xfId="34562"/>
    <cellStyle name="常规 7 2 2 3 4 3" xfId="34563"/>
    <cellStyle name="常规 7 2 2 4 4 2" xfId="34564"/>
    <cellStyle name="常规 7 2 2 7 3" xfId="34565"/>
    <cellStyle name="常规 7 2 3 2 4 2" xfId="34566"/>
    <cellStyle name="常规 7 2 3 3 4 2" xfId="34567"/>
    <cellStyle name="常规 7 2 3 6 2" xfId="34568"/>
    <cellStyle name="常规 7 2 4 4 3" xfId="34569"/>
    <cellStyle name="常规 7 2 5 4 3" xfId="34570"/>
    <cellStyle name="常规 7 2 8 3" xfId="34571"/>
    <cellStyle name="常规 7 3 2 2 2 4 2" xfId="34572"/>
    <cellStyle name="常规 7 3 2 2 5 2" xfId="34573"/>
    <cellStyle name="常规 7 3 2 3 4 3" xfId="34574"/>
    <cellStyle name="常规 7 3 2 6 3" xfId="34575"/>
    <cellStyle name="常规 7 3 3 2 4 3" xfId="34576"/>
    <cellStyle name="常规 7 3 3 3 4 2" xfId="34577"/>
    <cellStyle name="常规 7 3 3 6 3" xfId="34578"/>
    <cellStyle name="常规 7 3 4 4 3" xfId="34579"/>
    <cellStyle name="常规 7 3 5 4 2" xfId="34580"/>
    <cellStyle name="常规 7 3 8 3" xfId="34581"/>
    <cellStyle name="常规 7 5 2 2 4 2" xfId="34582"/>
    <cellStyle name="常规 7 5 2 3 4 2" xfId="34583"/>
    <cellStyle name="常规 7 5 2 6 2" xfId="34584"/>
    <cellStyle name="常规 7 5 3 4 2" xfId="34585"/>
    <cellStyle name="常规 7 5 4 4 2" xfId="34586"/>
    <cellStyle name="常规 7 5 7 2" xfId="34587"/>
    <cellStyle name="常规 7 6 2 4 2" xfId="34588"/>
    <cellStyle name="常规 7 6 6 2" xfId="34589"/>
    <cellStyle name="常规 7 7 5 2" xfId="34590"/>
    <cellStyle name="常规 7 8 4 2" xfId="34591"/>
    <cellStyle name="常规 7 9 4 3" xfId="34592"/>
    <cellStyle name="常规 70 4 2" xfId="34593"/>
    <cellStyle name="常规 71 4 2" xfId="34594"/>
    <cellStyle name="常规 72 4 2" xfId="34595"/>
    <cellStyle name="常规 73 4 3" xfId="34596"/>
    <cellStyle name="常规 74 4 2" xfId="34597"/>
    <cellStyle name="常规 75 4 2" xfId="34598"/>
    <cellStyle name="常规 76 4 2" xfId="34599"/>
    <cellStyle name="常规 77 4 2" xfId="34600"/>
    <cellStyle name="常规 78 4 2" xfId="34601"/>
    <cellStyle name="常规 79 4 2" xfId="34602"/>
    <cellStyle name="常规 8 11 13" xfId="34603"/>
    <cellStyle name="常规 8 2 2 2 2 4 3" xfId="34604"/>
    <cellStyle name="常规 8 2 2 2 3 4 3" xfId="34605"/>
    <cellStyle name="常规 8 2 2 2 6 9" xfId="34606"/>
    <cellStyle name="常规 8 2 2 3 4 9" xfId="34607"/>
    <cellStyle name="常规 8 2 2 4 4 9" xfId="34608"/>
    <cellStyle name="常规 8 2 2 7 14" xfId="34609"/>
    <cellStyle name="常规 8 2 28" xfId="34610"/>
    <cellStyle name="常规 8 2 3 2 4 3" xfId="34611"/>
    <cellStyle name="常规 8 2 3 3 4 3" xfId="34612"/>
    <cellStyle name="常规 8 2 3 6 9" xfId="34613"/>
    <cellStyle name="常规 8 2 4 4 9" xfId="34614"/>
    <cellStyle name="常规 8 2 5 4 9" xfId="34615"/>
    <cellStyle name="常规 8 2 8 14" xfId="34616"/>
    <cellStyle name="常规 8 3 2 2 2 4 2" xfId="34617"/>
    <cellStyle name="常规 8 3 2 2 5 2" xfId="34618"/>
    <cellStyle name="常规 8 3 2 3 4 3" xfId="34619"/>
    <cellStyle name="常规 8 3 2 6 9" xfId="34620"/>
    <cellStyle name="常规 8 3 3 2 4 3" xfId="34621"/>
    <cellStyle name="常规 8 3 3 3 4 3" xfId="34622"/>
    <cellStyle name="常规 8 3 3 6 9" xfId="34623"/>
    <cellStyle name="常规 8 3 4 4 9" xfId="34624"/>
    <cellStyle name="常规 8 3 5 4 9" xfId="34625"/>
    <cellStyle name="常规 8 3 8 13" xfId="34626"/>
    <cellStyle name="常规 8 31" xfId="34627"/>
    <cellStyle name="常规 8 4 2 2 4 2" xfId="34628"/>
    <cellStyle name="常规 8 4 2 3 4 2" xfId="34629"/>
    <cellStyle name="常规 8 4 2 6 2" xfId="34630"/>
    <cellStyle name="常规 8 4 3 4 3" xfId="34631"/>
    <cellStyle name="常规 8 4 4 4 3" xfId="34632"/>
    <cellStyle name="常规 8 4 7 9" xfId="34633"/>
    <cellStyle name="常规 8 5 2 4 2" xfId="34634"/>
    <cellStyle name="常规 8 5 6 9" xfId="34635"/>
    <cellStyle name="常规 8 6 2 4 3" xfId="34636"/>
    <cellStyle name="常规 8 6 3 4 3" xfId="34637"/>
    <cellStyle name="常规 8 6 6 9" xfId="34638"/>
    <cellStyle name="常规 8 7 4 9" xfId="34639"/>
    <cellStyle name="常规 8 8 4 9" xfId="34640"/>
    <cellStyle name="常规 80 4 2" xfId="34641"/>
    <cellStyle name="常规 81 4 2" xfId="34642"/>
    <cellStyle name="常规 82 4 2" xfId="34643"/>
    <cellStyle name="常规 83 4 2" xfId="34644"/>
    <cellStyle name="常规 84 4 2" xfId="34645"/>
    <cellStyle name="常规 85 4 2" xfId="34646"/>
    <cellStyle name="常规 86 4 2" xfId="34647"/>
    <cellStyle name="常规 87 4 2" xfId="34648"/>
    <cellStyle name="常规 88 4 2" xfId="34649"/>
    <cellStyle name="常规 89 4 2" xfId="34650"/>
    <cellStyle name="常规 9 11 3" xfId="34651"/>
    <cellStyle name="常规 9 18" xfId="34652"/>
    <cellStyle name="常规 9 2 2 2 2 4 2" xfId="34653"/>
    <cellStyle name="常规 9 2 2 2 3 4 2" xfId="34654"/>
    <cellStyle name="常规 9 2 2 2 6 2" xfId="34655"/>
    <cellStyle name="常规 9 2 2 3 4 2" xfId="34656"/>
    <cellStyle name="常规 9 2 2 4 4 3" xfId="34657"/>
    <cellStyle name="常规 9 2 2 7 3" xfId="34658"/>
    <cellStyle name="常规 9 2 3 2 4 2" xfId="34659"/>
    <cellStyle name="常规 9 2 3 3 4 2" xfId="34660"/>
    <cellStyle name="常规 9 2 3 6 2" xfId="34661"/>
    <cellStyle name="常规 9 2 4 4 2" xfId="34662"/>
    <cellStyle name="常规 9 2 5 4 3" xfId="34663"/>
    <cellStyle name="常规 9 2 8 3" xfId="34664"/>
    <cellStyle name="常规 9 3 2 2 2 4 2" xfId="34665"/>
    <cellStyle name="常规 9 3 2 2 5 2" xfId="34666"/>
    <cellStyle name="常规 9 3 2 3 4 2" xfId="34667"/>
    <cellStyle name="常规 9 3 2 6 2" xfId="34668"/>
    <cellStyle name="常规 9 3 3 2 4 2" xfId="34669"/>
    <cellStyle name="常规 9 3 3 3 4 2" xfId="34670"/>
    <cellStyle name="常规 9 3 3 6 2" xfId="34671"/>
    <cellStyle name="常规 9 3 4 4 3" xfId="34672"/>
    <cellStyle name="常规 9 3 5 4 2" xfId="34673"/>
    <cellStyle name="常规 9 3 8 3" xfId="34674"/>
    <cellStyle name="常规 9 4 2 2 4 2" xfId="34675"/>
    <cellStyle name="常规 9 4 2 3 4 2" xfId="34676"/>
    <cellStyle name="常规 9 4 2 6 2" xfId="34677"/>
    <cellStyle name="常规 9 4 3 4 2" xfId="34678"/>
    <cellStyle name="常规 9 4 4 4 2" xfId="34679"/>
    <cellStyle name="常规 9 4 7 2" xfId="34680"/>
    <cellStyle name="常规 9 5 2 4 2" xfId="34681"/>
    <cellStyle name="常规 9 5 6 2" xfId="34682"/>
    <cellStyle name="常规 9 6 5 2" xfId="34683"/>
    <cellStyle name="常规 9 7 4 2" xfId="34684"/>
    <cellStyle name="常规 9 8 4 2" xfId="34685"/>
    <cellStyle name="常规 90 4 2" xfId="34686"/>
    <cellStyle name="常规 91 4 2" xfId="34687"/>
    <cellStyle name="常规 92 4 2" xfId="34688"/>
    <cellStyle name="常规 93 4 2" xfId="34689"/>
    <cellStyle name="常规 94 4 2" xfId="34690"/>
    <cellStyle name="常规 95 4 2" xfId="34691"/>
    <cellStyle name="常规 96 4 2" xfId="34692"/>
    <cellStyle name="常规 97 4 2" xfId="34693"/>
    <cellStyle name="好 4" xfId="34694"/>
    <cellStyle name="汇总 4" xfId="34695"/>
    <cellStyle name="计算 4" xfId="34696"/>
    <cellStyle name="检查单元格 4" xfId="34697"/>
    <cellStyle name="解释性文本 4" xfId="34698"/>
    <cellStyle name="警告文本 4" xfId="34699"/>
    <cellStyle name="链接单元格 4" xfId="34700"/>
    <cellStyle name="千位分隔 15 2 2 5 2" xfId="34701"/>
    <cellStyle name="千位分隔 15 2 2 6 2" xfId="34702"/>
    <cellStyle name="千位分隔 15 2 6 2" xfId="34703"/>
    <cellStyle name="千位分隔 15 2 7 2" xfId="34704"/>
    <cellStyle name="千位分隔 15 3 5 2" xfId="34705"/>
    <cellStyle name="千位分隔 15 3 6 2" xfId="34706"/>
    <cellStyle name="千位分隔 15 7 2" xfId="34707"/>
    <cellStyle name="千位分隔 15 8 2" xfId="34708"/>
    <cellStyle name="千位分隔 16 2 5 2" xfId="34709"/>
    <cellStyle name="千位分隔 16 2 6 2" xfId="34710"/>
    <cellStyle name="千位分隔 16 6 2" xfId="34711"/>
    <cellStyle name="千位分隔 16 7 2" xfId="34712"/>
    <cellStyle name="千位分隔 17 5 2" xfId="34713"/>
    <cellStyle name="千位分隔 17 6 2" xfId="34714"/>
    <cellStyle name="千位分隔 2 12 5 2" xfId="34715"/>
    <cellStyle name="千位分隔 2 12 6 2" xfId="34716"/>
    <cellStyle name="千位分隔 2 13 5 2" xfId="34717"/>
    <cellStyle name="千位分隔 2 13 6 2" xfId="34718"/>
    <cellStyle name="千位分隔 2 2 13 2" xfId="34719"/>
    <cellStyle name="千位分隔 2 2 14 2" xfId="34720"/>
    <cellStyle name="千位分隔 2 2 16" xfId="34721"/>
    <cellStyle name="千位分隔 2 2 2 11 2" xfId="34722"/>
    <cellStyle name="千位分隔 2 2 2 12 2" xfId="34723"/>
    <cellStyle name="千位分隔 2 2 2 2 10 2" xfId="34724"/>
    <cellStyle name="千位分隔 2 2 2 2 2 2 2 5 2" xfId="34725"/>
    <cellStyle name="千位分隔 2 2 2 2 2 2 2 6 2" xfId="34726"/>
    <cellStyle name="千位分隔 2 2 2 2 2 2 3 5 2" xfId="34727"/>
    <cellStyle name="千位分隔 2 2 2 2 2 2 3 6 2" xfId="34728"/>
    <cellStyle name="千位分隔 2 2 2 2 2 2 7 2" xfId="34729"/>
    <cellStyle name="千位分隔 2 2 2 2 2 2 8 2" xfId="34730"/>
    <cellStyle name="千位分隔 2 2 2 2 2 3 5 2" xfId="34731"/>
    <cellStyle name="千位分隔 2 2 2 2 2 3 6 2" xfId="34732"/>
    <cellStyle name="千位分隔 2 2 2 2 2 4 5 2" xfId="34733"/>
    <cellStyle name="千位分隔 2 2 2 2 2 4 6 2" xfId="34734"/>
    <cellStyle name="千位分隔 2 2 2 2 2 8 2" xfId="34735"/>
    <cellStyle name="千位分隔 2 2 2 2 2 9 2" xfId="34736"/>
    <cellStyle name="千位分隔 2 2 2 2 3 2 5 2" xfId="34737"/>
    <cellStyle name="千位分隔 2 2 2 2 3 2 6 2" xfId="34738"/>
    <cellStyle name="千位分隔 2 2 2 2 3 3 5 2" xfId="34739"/>
    <cellStyle name="千位分隔 2 2 2 2 3 3 6 2" xfId="34740"/>
    <cellStyle name="千位分隔 2 2 2 2 3 7 2" xfId="34741"/>
    <cellStyle name="千位分隔 2 2 2 2 3 8 2" xfId="34742"/>
    <cellStyle name="千位分隔 2 2 2 2 4 5 2" xfId="34743"/>
    <cellStyle name="千位分隔 2 2 2 2 4 6 2" xfId="34744"/>
    <cellStyle name="千位分隔 2 2 2 2 5 5 2" xfId="34745"/>
    <cellStyle name="千位分隔 2 2 2 2 5 6 2" xfId="34746"/>
    <cellStyle name="千位分隔 2 2 2 2 9 2" xfId="34747"/>
    <cellStyle name="千位分隔 2 2 2 3 10 2" xfId="34748"/>
    <cellStyle name="千位分隔 2 2 2 3 2 2 2 5 2" xfId="34749"/>
    <cellStyle name="千位分隔 2 2 2 3 2 2 2 6 2" xfId="34750"/>
    <cellStyle name="千位分隔 2 2 2 3 2 2 6 2" xfId="34751"/>
    <cellStyle name="千位分隔 2 2 2 3 2 2 7 2" xfId="34752"/>
    <cellStyle name="千位分隔 2 2 2 3 2 3 5 2" xfId="34753"/>
    <cellStyle name="千位分隔 2 2 2 3 2 3 6 2" xfId="34754"/>
    <cellStyle name="千位分隔 2 2 2 3 2 7 2" xfId="34755"/>
    <cellStyle name="千位分隔 2 2 2 3 2 8 2" xfId="34756"/>
    <cellStyle name="千位分隔 2 2 2 3 3 2 5 2" xfId="34757"/>
    <cellStyle name="千位分隔 2 2 2 3 3 2 6 2" xfId="34758"/>
    <cellStyle name="千位分隔 2 2 2 3 3 3 5 2" xfId="34759"/>
    <cellStyle name="千位分隔 2 2 2 3 3 3 6 2" xfId="34760"/>
    <cellStyle name="千位分隔 2 2 2 3 3 7 2" xfId="34761"/>
    <cellStyle name="千位分隔 2 2 2 3 3 8 2" xfId="34762"/>
    <cellStyle name="千位分隔 2 2 2 3 4 5 2" xfId="34763"/>
    <cellStyle name="千位分隔 2 2 2 3 4 6 2" xfId="34764"/>
    <cellStyle name="千位分隔 2 2 2 3 5 5 2" xfId="34765"/>
    <cellStyle name="千位分隔 2 2 2 3 5 6 2" xfId="34766"/>
    <cellStyle name="千位分隔 2 2 2 3 9 2" xfId="34767"/>
    <cellStyle name="千位分隔 2 2 2 4 2 2 5 2" xfId="34768"/>
    <cellStyle name="千位分隔 2 2 2 4 2 2 6 2" xfId="34769"/>
    <cellStyle name="千位分隔 2 2 2 4 2 3 5 2" xfId="34770"/>
    <cellStyle name="千位分隔 2 2 2 4 2 3 6 2" xfId="34771"/>
    <cellStyle name="千位分隔 2 2 2 4 2 7 2" xfId="34772"/>
    <cellStyle name="千位分隔 2 2 2 4 2 8 2" xfId="34773"/>
    <cellStyle name="千位分隔 2 2 2 4 3 5 2" xfId="34774"/>
    <cellStyle name="千位分隔 2 2 2 4 3 6 2" xfId="34775"/>
    <cellStyle name="千位分隔 2 2 2 4 4 5 2" xfId="34776"/>
    <cellStyle name="千位分隔 2 2 2 4 4 6 2" xfId="34777"/>
    <cellStyle name="千位分隔 2 2 2 4 8 2" xfId="34778"/>
    <cellStyle name="千位分隔 2 2 2 4 9 2" xfId="34779"/>
    <cellStyle name="千位分隔 2 2 2 5 2 5 2" xfId="34780"/>
    <cellStyle name="千位分隔 2 2 2 5 2 6 2" xfId="34781"/>
    <cellStyle name="千位分隔 2 2 2 5 3 5 2" xfId="34782"/>
    <cellStyle name="千位分隔 2 2 2 5 3 6 2" xfId="34783"/>
    <cellStyle name="千位分隔 2 2 2 5 7 2" xfId="34784"/>
    <cellStyle name="千位分隔 2 2 2 5 8 2" xfId="34785"/>
    <cellStyle name="千位分隔 2 2 2 6 5 2" xfId="34786"/>
    <cellStyle name="千位分隔 2 2 2 6 6 2" xfId="34787"/>
    <cellStyle name="千位分隔 2 2 2 7 5 2" xfId="34788"/>
    <cellStyle name="千位分隔 2 2 2 7 6 2" xfId="34789"/>
    <cellStyle name="千位分隔 2 2 3 10 2" xfId="34790"/>
    <cellStyle name="千位分隔 2 2 3 11 2" xfId="34791"/>
    <cellStyle name="千位分隔 2 2 3 2 10 2" xfId="34792"/>
    <cellStyle name="千位分隔 2 2 3 2 2 2 2 5 2" xfId="34793"/>
    <cellStyle name="千位分隔 2 2 3 2 2 2 2 6 2" xfId="34794"/>
    <cellStyle name="千位分隔 2 2 3 2 2 2 6 2" xfId="34795"/>
    <cellStyle name="千位分隔 2 2 3 2 2 2 7 2" xfId="34796"/>
    <cellStyle name="千位分隔 2 2 3 2 2 3 5 2" xfId="34797"/>
    <cellStyle name="千位分隔 2 2 3 2 2 3 6 2" xfId="34798"/>
    <cellStyle name="千位分隔 2 2 3 2 2 7 2" xfId="34799"/>
    <cellStyle name="千位分隔 2 2 3 2 2 8 2" xfId="34800"/>
    <cellStyle name="千位分隔 2 2 3 2 3 2 5 2" xfId="34801"/>
    <cellStyle name="千位分隔 2 2 3 2 3 2 6 2" xfId="34802"/>
    <cellStyle name="千位分隔 2 2 3 2 3 3 5 2" xfId="34803"/>
    <cellStyle name="千位分隔 2 2 3 2 3 3 6 2" xfId="34804"/>
    <cellStyle name="千位分隔 2 2 3 2 3 7 2" xfId="34805"/>
    <cellStyle name="千位分隔 2 2 3 2 3 8 2" xfId="34806"/>
    <cellStyle name="千位分隔 2 2 3 2 4 5 2" xfId="34807"/>
    <cellStyle name="千位分隔 2 2 3 2 4 6 2" xfId="34808"/>
    <cellStyle name="千位分隔 2 2 3 2 5 5 2" xfId="34809"/>
    <cellStyle name="千位分隔 2 2 3 2 5 6 2" xfId="34810"/>
    <cellStyle name="千位分隔 2 2 3 2 9 2" xfId="34811"/>
    <cellStyle name="千位分隔 2 2 3 3 2 2 5 2" xfId="34812"/>
    <cellStyle name="千位分隔 2 2 3 3 2 2 6 2" xfId="34813"/>
    <cellStyle name="千位分隔 2 2 3 3 2 3 5 2" xfId="34814"/>
    <cellStyle name="千位分隔 2 2 3 3 2 3 6 2" xfId="34815"/>
    <cellStyle name="千位分隔 2 2 3 3 2 7 2" xfId="34816"/>
    <cellStyle name="千位分隔 2 2 3 3 2 8 2" xfId="34817"/>
    <cellStyle name="千位分隔 2 2 3 3 3 5 2" xfId="34818"/>
    <cellStyle name="千位分隔 2 2 3 3 3 6 2" xfId="34819"/>
    <cellStyle name="千位分隔 2 2 3 3 4 5 2" xfId="34820"/>
    <cellStyle name="千位分隔 2 2 3 3 4 6 2" xfId="34821"/>
    <cellStyle name="千位分隔 2 2 3 3 8 2" xfId="34822"/>
    <cellStyle name="千位分隔 2 2 3 3 9 2" xfId="34823"/>
    <cellStyle name="千位分隔 2 2 3 4 2 5 2" xfId="34824"/>
    <cellStyle name="千位分隔 2 2 3 4 2 6 2" xfId="34825"/>
    <cellStyle name="千位分隔 2 2 3 4 3 5 2" xfId="34826"/>
    <cellStyle name="千位分隔 2 2 3 4 3 6 2" xfId="34827"/>
    <cellStyle name="千位分隔 2 2 3 4 7 2" xfId="34828"/>
    <cellStyle name="千位分隔 2 2 3 4 8 2" xfId="34829"/>
    <cellStyle name="千位分隔 2 2 3 5 5 2" xfId="34830"/>
    <cellStyle name="千位分隔 2 2 3 5 6 2" xfId="34831"/>
    <cellStyle name="千位分隔 2 2 3 6 5 2" xfId="34832"/>
    <cellStyle name="千位分隔 2 2 3 6 6 2" xfId="34833"/>
    <cellStyle name="千位分隔 2 2 4 10 2" xfId="34834"/>
    <cellStyle name="千位分隔 2 2 4 2 2 2 5 2" xfId="34835"/>
    <cellStyle name="千位分隔 2 2 4 2 2 2 6 2" xfId="34836"/>
    <cellStyle name="千位分隔 2 2 4 2 2 3 5 2" xfId="34837"/>
    <cellStyle name="千位分隔 2 2 4 2 2 3 6 2" xfId="34838"/>
    <cellStyle name="千位分隔 2 2 4 2 2 7 2" xfId="34839"/>
    <cellStyle name="千位分隔 2 2 4 2 2 8 2" xfId="34840"/>
    <cellStyle name="千位分隔 2 2 4 2 3 5 2" xfId="34841"/>
    <cellStyle name="千位分隔 2 2 4 2 3 6 2" xfId="34842"/>
    <cellStyle name="千位分隔 2 2 4 2 4 5 2" xfId="34843"/>
    <cellStyle name="千位分隔 2 2 4 2 4 6 2" xfId="34844"/>
    <cellStyle name="千位分隔 2 2 4 2 8 2" xfId="34845"/>
    <cellStyle name="千位分隔 2 2 4 2 9 2" xfId="34846"/>
    <cellStyle name="千位分隔 2 2 4 3 2 5 2" xfId="34847"/>
    <cellStyle name="千位分隔 2 2 4 3 2 6 2" xfId="34848"/>
    <cellStyle name="千位分隔 2 2 4 3 3 5 2" xfId="34849"/>
    <cellStyle name="千位分隔 2 2 4 3 3 6 2" xfId="34850"/>
    <cellStyle name="千位分隔 2 2 4 3 7 2" xfId="34851"/>
    <cellStyle name="千位分隔 2 2 4 3 8 2" xfId="34852"/>
    <cellStyle name="千位分隔 2 2 4 4 5 2" xfId="34853"/>
    <cellStyle name="千位分隔 2 2 4 4 6 2" xfId="34854"/>
    <cellStyle name="千位分隔 2 2 4 5 5 2" xfId="34855"/>
    <cellStyle name="千位分隔 2 2 4 5 6 2" xfId="34856"/>
    <cellStyle name="千位分隔 2 2 4 9 2" xfId="34857"/>
    <cellStyle name="千位分隔 2 2 5 10 2" xfId="34858"/>
    <cellStyle name="千位分隔 2 2 5 2 2 2 5 2" xfId="34859"/>
    <cellStyle name="千位分隔 2 2 5 2 2 2 6 2" xfId="34860"/>
    <cellStyle name="千位分隔 2 2 5 2 2 6 2" xfId="34861"/>
    <cellStyle name="千位分隔 2 2 5 2 2 7 2" xfId="34862"/>
    <cellStyle name="千位分隔 2 2 5 2 3 5 2" xfId="34863"/>
    <cellStyle name="千位分隔 2 2 5 2 3 6 2" xfId="34864"/>
    <cellStyle name="千位分隔 2 2 5 2 7 2" xfId="34865"/>
    <cellStyle name="千位分隔 2 2 5 2 8 2" xfId="34866"/>
    <cellStyle name="千位分隔 2 2 5 3 2 5 2" xfId="34867"/>
    <cellStyle name="千位分隔 2 2 5 3 2 6 2" xfId="34868"/>
    <cellStyle name="千位分隔 2 2 5 3 3 5 2" xfId="34869"/>
    <cellStyle name="千位分隔 2 2 5 3 3 6 2" xfId="34870"/>
    <cellStyle name="千位分隔 2 2 5 3 7 2" xfId="34871"/>
    <cellStyle name="千位分隔 2 2 5 3 8 2" xfId="34872"/>
    <cellStyle name="千位分隔 2 2 5 4 5 2" xfId="34873"/>
    <cellStyle name="千位分隔 2 2 5 4 6 2" xfId="34874"/>
    <cellStyle name="千位分隔 2 2 5 5 5 2" xfId="34875"/>
    <cellStyle name="千位分隔 2 2 5 5 6 2" xfId="34876"/>
    <cellStyle name="千位分隔 2 2 5 9 2" xfId="34877"/>
    <cellStyle name="千位分隔 2 2 6 2 2 5 2" xfId="34878"/>
    <cellStyle name="千位分隔 2 2 6 2 2 6 2" xfId="34879"/>
    <cellStyle name="千位分隔 2 2 6 2 3 5 2" xfId="34880"/>
    <cellStyle name="千位分隔 2 2 6 2 3 6 2" xfId="34881"/>
    <cellStyle name="千位分隔 2 2 6 2 7 2" xfId="34882"/>
    <cellStyle name="千位分隔 2 2 6 2 8 2" xfId="34883"/>
    <cellStyle name="千位分隔 2 2 6 3 5 2" xfId="34884"/>
    <cellStyle name="千位分隔 2 2 6 3 6 2" xfId="34885"/>
    <cellStyle name="千位分隔 2 2 6 4 5 2" xfId="34886"/>
    <cellStyle name="千位分隔 2 2 6 4 6 2" xfId="34887"/>
    <cellStyle name="千位分隔 2 2 6 8 2" xfId="34888"/>
    <cellStyle name="千位分隔 2 2 6 9 2" xfId="34889"/>
    <cellStyle name="千位分隔 2 2 7 2 5 2" xfId="34890"/>
    <cellStyle name="千位分隔 2 2 7 2 6 2" xfId="34891"/>
    <cellStyle name="千位分隔 2 2 7 3 5 2" xfId="34892"/>
    <cellStyle name="千位分隔 2 2 7 3 6 2" xfId="34893"/>
    <cellStyle name="千位分隔 2 2 7 7 2" xfId="34894"/>
    <cellStyle name="千位分隔 2 2 7 8 2" xfId="34895"/>
    <cellStyle name="千位分隔 2 2 8 5 2" xfId="34896"/>
    <cellStyle name="千位分隔 2 2 8 6 2" xfId="34897"/>
    <cellStyle name="千位分隔 2 2 9 5 2" xfId="34898"/>
    <cellStyle name="千位分隔 2 2 9 6 2" xfId="34899"/>
    <cellStyle name="千位分隔 2 3 6" xfId="34900"/>
    <cellStyle name="千位分隔 2 4 11 2" xfId="34901"/>
    <cellStyle name="千位分隔 2 4 12 2" xfId="34902"/>
    <cellStyle name="千位分隔 2 4 2 10 2" xfId="34903"/>
    <cellStyle name="千位分隔 2 4 2 2 2 2 5 2" xfId="34904"/>
    <cellStyle name="千位分隔 2 4 2 2 2 2 6 2" xfId="34905"/>
    <cellStyle name="千位分隔 2 4 2 2 2 3 5 2" xfId="34906"/>
    <cellStyle name="千位分隔 2 4 2 2 2 3 6 2" xfId="34907"/>
    <cellStyle name="千位分隔 2 4 2 2 2 7 2" xfId="34908"/>
    <cellStyle name="千位分隔 2 4 2 2 2 8 2" xfId="34909"/>
    <cellStyle name="千位分隔 2 4 2 2 3 5 2" xfId="34910"/>
    <cellStyle name="千位分隔 2 4 2 2 3 6 2" xfId="34911"/>
    <cellStyle name="千位分隔 2 4 2 2 4 5 2" xfId="34912"/>
    <cellStyle name="千位分隔 2 4 2 2 4 6 2" xfId="34913"/>
    <cellStyle name="千位分隔 2 4 2 2 8 2" xfId="34914"/>
    <cellStyle name="千位分隔 2 4 2 2 9 2" xfId="34915"/>
    <cellStyle name="千位分隔 2 4 2 3 2 5 2" xfId="34916"/>
    <cellStyle name="千位分隔 2 4 2 3 2 6 2" xfId="34917"/>
    <cellStyle name="千位分隔 2 4 2 3 3 5 2" xfId="34918"/>
    <cellStyle name="千位分隔 2 4 2 3 3 6 2" xfId="34919"/>
    <cellStyle name="千位分隔 2 4 2 3 7 2" xfId="34920"/>
    <cellStyle name="千位分隔 2 4 2 3 8 2" xfId="34921"/>
    <cellStyle name="千位分隔 2 4 2 4 5 2" xfId="34922"/>
    <cellStyle name="千位分隔 2 4 2 4 6 2" xfId="34923"/>
    <cellStyle name="千位分隔 2 4 2 5 5 2" xfId="34924"/>
    <cellStyle name="千位分隔 2 4 2 5 6 2" xfId="34925"/>
    <cellStyle name="千位分隔 2 4 2 9 2" xfId="34926"/>
    <cellStyle name="千位分隔 2 4 3 10 2" xfId="34927"/>
    <cellStyle name="千位分隔 2 4 3 2 2 2 5 2" xfId="34928"/>
    <cellStyle name="千位分隔 2 4 3 2 2 2 6 2" xfId="34929"/>
    <cellStyle name="千位分隔 2 4 3 2 2 6 2" xfId="34930"/>
    <cellStyle name="千位分隔 2 4 3 2 2 7 2" xfId="34931"/>
    <cellStyle name="千位分隔 2 4 3 2 3 5 2" xfId="34932"/>
    <cellStyle name="千位分隔 2 4 3 2 3 6 2" xfId="34933"/>
    <cellStyle name="千位分隔 2 4 3 2 7 2" xfId="34934"/>
    <cellStyle name="千位分隔 2 4 3 2 8 2" xfId="34935"/>
    <cellStyle name="千位分隔 2 4 3 3 2 5 2" xfId="34936"/>
    <cellStyle name="千位分隔 2 4 3 3 2 6 2" xfId="34937"/>
    <cellStyle name="千位分隔 2 4 3 3 3 5 2" xfId="34938"/>
    <cellStyle name="千位分隔 2 4 3 3 3 6 2" xfId="34939"/>
    <cellStyle name="千位分隔 2 4 3 3 7 2" xfId="34940"/>
    <cellStyle name="千位分隔 2 4 3 3 8 2" xfId="34941"/>
    <cellStyle name="千位分隔 2 4 3 4 5 2" xfId="34942"/>
    <cellStyle name="千位分隔 2 4 3 4 6 2" xfId="34943"/>
    <cellStyle name="千位分隔 2 4 3 5 5 2" xfId="34944"/>
    <cellStyle name="千位分隔 2 4 3 5 6 2" xfId="34945"/>
    <cellStyle name="千位分隔 2 4 3 9 2" xfId="34946"/>
    <cellStyle name="千位分隔 2 4 4 2 2 5 2" xfId="34947"/>
    <cellStyle name="千位分隔 2 4 4 2 2 6 2" xfId="34948"/>
    <cellStyle name="千位分隔 2 4 4 2 3 5 2" xfId="34949"/>
    <cellStyle name="千位分隔 2 4 4 2 3 6 2" xfId="34950"/>
    <cellStyle name="千位分隔 2 4 4 2 7 2" xfId="34951"/>
    <cellStyle name="千位分隔 2 4 4 2 8 2" xfId="34952"/>
    <cellStyle name="千位分隔 2 4 4 3 5 2" xfId="34953"/>
    <cellStyle name="千位分隔 2 4 4 3 6 2" xfId="34954"/>
    <cellStyle name="千位分隔 2 4 4 4 5 2" xfId="34955"/>
    <cellStyle name="千位分隔 2 4 4 4 6 2" xfId="34956"/>
    <cellStyle name="千位分隔 2 4 4 8 2" xfId="34957"/>
    <cellStyle name="千位分隔 2 4 4 9 2" xfId="34958"/>
    <cellStyle name="千位分隔 2 4 5 2 5 2" xfId="34959"/>
    <cellStyle name="千位分隔 2 4 5 2 6 2" xfId="34960"/>
    <cellStyle name="千位分隔 2 4 5 3 5 2" xfId="34961"/>
    <cellStyle name="千位分隔 2 4 5 3 6 2" xfId="34962"/>
    <cellStyle name="千位分隔 2 4 5 7 2" xfId="34963"/>
    <cellStyle name="千位分隔 2 4 5 8 2" xfId="34964"/>
    <cellStyle name="千位分隔 2 4 6 5 2" xfId="34965"/>
    <cellStyle name="千位分隔 2 4 6 6 2" xfId="34966"/>
    <cellStyle name="千位分隔 2 4 7 5 2" xfId="34967"/>
    <cellStyle name="千位分隔 2 4 7 6 2" xfId="34968"/>
    <cellStyle name="千位分隔 2 7 10 2" xfId="34969"/>
    <cellStyle name="千位分隔 2 7 2 2 2 5 2" xfId="34970"/>
    <cellStyle name="千位分隔 2 7 2 2 2 6 2" xfId="34971"/>
    <cellStyle name="千位分隔 2 7 2 2 3 5 2" xfId="34972"/>
    <cellStyle name="千位分隔 2 7 2 2 3 6 2" xfId="34973"/>
    <cellStyle name="千位分隔 2 7 2 2 7 2" xfId="34974"/>
    <cellStyle name="千位分隔 2 7 2 2 8 2" xfId="34975"/>
    <cellStyle name="千位分隔 2 7 2 3 5 2" xfId="34976"/>
    <cellStyle name="千位分隔 2 7 2 3 6 2" xfId="34977"/>
    <cellStyle name="千位分隔 2 7 2 4 5 2" xfId="34978"/>
    <cellStyle name="千位分隔 2 7 2 4 6 2" xfId="34979"/>
    <cellStyle name="千位分隔 2 7 2 8 2" xfId="34980"/>
    <cellStyle name="千位分隔 2 7 2 9 2" xfId="34981"/>
    <cellStyle name="千位分隔 2 7 3 2 5 2" xfId="34982"/>
    <cellStyle name="千位分隔 2 7 3 2 6 2" xfId="34983"/>
    <cellStyle name="千位分隔 2 7 3 7 2" xfId="34984"/>
    <cellStyle name="千位分隔 2 7 3 8 2" xfId="34985"/>
    <cellStyle name="千位分隔 2 7 4 2 5 2" xfId="34986"/>
    <cellStyle name="千位分隔 2 7 4 2 6 2" xfId="34987"/>
    <cellStyle name="千位分隔 2 7 4 6 2" xfId="34988"/>
    <cellStyle name="千位分隔 2 7 4 7 2" xfId="34989"/>
    <cellStyle name="千位分隔 2 7 5 5 2" xfId="34990"/>
    <cellStyle name="千位分隔 2 7 5 6 2" xfId="34991"/>
    <cellStyle name="千位分隔 2 7 9 2" xfId="34992"/>
    <cellStyle name="千位分隔 2 8 2 2 5 2" xfId="34993"/>
    <cellStyle name="千位分隔 2 8 2 2 6 2" xfId="34994"/>
    <cellStyle name="千位分隔 2 8 2 3 5 2" xfId="34995"/>
    <cellStyle name="千位分隔 2 8 2 3 6 2" xfId="34996"/>
    <cellStyle name="千位分隔 2 8 2 7 2" xfId="34997"/>
    <cellStyle name="千位分隔 2 8 2 8 2" xfId="34998"/>
    <cellStyle name="千位分隔 2 8 3 5 2" xfId="34999"/>
    <cellStyle name="千位分隔 2 8 3 6 2" xfId="35000"/>
    <cellStyle name="千位分隔 2 8 4 5 2" xfId="35001"/>
    <cellStyle name="千位分隔 2 8 4 6 2" xfId="35002"/>
    <cellStyle name="千位分隔 2 8 8 2" xfId="35003"/>
    <cellStyle name="千位分隔 2 8 9 2" xfId="35004"/>
    <cellStyle name="千位分隔 2 9 2 5 2" xfId="35005"/>
    <cellStyle name="千位分隔 2 9 2 6 2" xfId="35006"/>
    <cellStyle name="千位分隔 2 9 7 2" xfId="35007"/>
    <cellStyle name="千位分隔 2 9 8 2" xfId="35008"/>
    <cellStyle name="千位分隔 22 2" xfId="35009"/>
    <cellStyle name="千位分隔 3 2 2 2 5 2" xfId="35010"/>
    <cellStyle name="千位分隔 3 2 2 2 6 2" xfId="35011"/>
    <cellStyle name="千位分隔 3 2 2 6 2" xfId="35012"/>
    <cellStyle name="千位分隔 3 2 2 7 2" xfId="35013"/>
    <cellStyle name="千位分隔 3 2 3 5 2" xfId="35014"/>
    <cellStyle name="千位分隔 3 2 3 6 2" xfId="35015"/>
    <cellStyle name="千位分隔 3 2 4 5 2" xfId="35016"/>
    <cellStyle name="千位分隔 3 2 4 6 2" xfId="35017"/>
    <cellStyle name="千位分隔 3 3 2 5 2" xfId="35018"/>
    <cellStyle name="千位分隔 3 3 2 6 2" xfId="35019"/>
    <cellStyle name="千位分隔 3 3 6 2" xfId="35020"/>
    <cellStyle name="千位分隔 3 3 7 2" xfId="35021"/>
    <cellStyle name="千位分隔 3 3 8" xfId="35022"/>
    <cellStyle name="千位分隔 3 4 2 5 2" xfId="35023"/>
    <cellStyle name="千位分隔 3 4 2 6 2" xfId="35024"/>
    <cellStyle name="千位分隔 3 4 2 8" xfId="35025"/>
    <cellStyle name="千位分隔 3 4 6 2" xfId="35026"/>
    <cellStyle name="千位分隔 3 4 7 2" xfId="35027"/>
    <cellStyle name="千位分隔 3 4 9" xfId="35028"/>
    <cellStyle name="千位分隔 3 5 2 3" xfId="35029"/>
    <cellStyle name="千位分隔 3 5 4" xfId="35030"/>
    <cellStyle name="千位分隔 3 6 2 3" xfId="35031"/>
    <cellStyle name="千位分隔 3 6 4" xfId="35032"/>
    <cellStyle name="千位分隔 3 7 2" xfId="35033"/>
    <cellStyle name="千位分隔 4 10 5 2" xfId="35034"/>
    <cellStyle name="千位分隔 4 10 6 2" xfId="35035"/>
    <cellStyle name="千位分隔 4 14 2" xfId="35036"/>
    <cellStyle name="千位分隔 4 15 2" xfId="35037"/>
    <cellStyle name="千位分隔 4 2 10 2" xfId="35038"/>
    <cellStyle name="千位分隔 4 2 11 2" xfId="35039"/>
    <cellStyle name="千位分隔 4 2 2 2 2 5 2" xfId="35040"/>
    <cellStyle name="千位分隔 4 2 2 2 2 6 2" xfId="35041"/>
    <cellStyle name="千位分隔 4 2 2 2 3 5 2" xfId="35042"/>
    <cellStyle name="千位分隔 4 2 2 2 3 6 2" xfId="35043"/>
    <cellStyle name="千位分隔 4 2 2 2 7 2" xfId="35044"/>
    <cellStyle name="千位分隔 4 2 2 2 8 2" xfId="35045"/>
    <cellStyle name="千位分隔 4 2 2 3 5 2" xfId="35046"/>
    <cellStyle name="千位分隔 4 2 2 3 6 2" xfId="35047"/>
    <cellStyle name="千位分隔 4 2 2 4 5 2" xfId="35048"/>
    <cellStyle name="千位分隔 4 2 2 4 6 2" xfId="35049"/>
    <cellStyle name="千位分隔 4 2 2 8 2" xfId="35050"/>
    <cellStyle name="千位分隔 4 2 2 9 2" xfId="35051"/>
    <cellStyle name="千位分隔 4 2 3 2 2 5 2" xfId="35052"/>
    <cellStyle name="千位分隔 4 2 3 2 2 6 2" xfId="35053"/>
    <cellStyle name="千位分隔 4 2 3 2 6 2" xfId="35054"/>
    <cellStyle name="千位分隔 4 2 3 2 7 2" xfId="35055"/>
    <cellStyle name="千位分隔 4 2 3 3 5 2" xfId="35056"/>
    <cellStyle name="千位分隔 4 2 3 3 6 2" xfId="35057"/>
    <cellStyle name="千位分隔 4 2 3 7 2" xfId="35058"/>
    <cellStyle name="千位分隔 4 2 3 8 2" xfId="35059"/>
    <cellStyle name="千位分隔 4 2 4 2 5 2" xfId="35060"/>
    <cellStyle name="千位分隔 4 2 4 2 6 2" xfId="35061"/>
    <cellStyle name="千位分隔 4 2 4 3 5 2" xfId="35062"/>
    <cellStyle name="千位分隔 4 2 4 3 6 2" xfId="35063"/>
    <cellStyle name="千位分隔 4 2 4 7 2" xfId="35064"/>
    <cellStyle name="千位分隔 4 2 4 8 2" xfId="35065"/>
    <cellStyle name="千位分隔 4 2 5 5 2" xfId="35066"/>
    <cellStyle name="千位分隔 4 2 5 6 2" xfId="35067"/>
    <cellStyle name="千位分隔 4 2 6 5 2" xfId="35068"/>
    <cellStyle name="千位分隔 4 2 6 6 2" xfId="35069"/>
    <cellStyle name="千位分隔 4 3 10 2" xfId="35070"/>
    <cellStyle name="千位分隔 4 3 2 2 2 5 2" xfId="35071"/>
    <cellStyle name="千位分隔 4 3 2 2 2 6 2" xfId="35072"/>
    <cellStyle name="千位分隔 4 3 2 2 6 2" xfId="35073"/>
    <cellStyle name="千位分隔 4 3 2 2 7 2" xfId="35074"/>
    <cellStyle name="千位分隔 4 3 2 3 5 2" xfId="35075"/>
    <cellStyle name="千位分隔 4 3 2 3 6 2" xfId="35076"/>
    <cellStyle name="千位分隔 4 3 2 7 2" xfId="35077"/>
    <cellStyle name="千位分隔 4 3 2 8 2" xfId="35078"/>
    <cellStyle name="千位分隔 4 3 3 2 5 2" xfId="35079"/>
    <cellStyle name="千位分隔 4 3 3 2 6 2" xfId="35080"/>
    <cellStyle name="千位分隔 4 3 3 3 5 2" xfId="35081"/>
    <cellStyle name="千位分隔 4 3 3 3 6 2" xfId="35082"/>
    <cellStyle name="千位分隔 4 3 3 7 2" xfId="35083"/>
    <cellStyle name="千位分隔 4 3 3 8 2" xfId="35084"/>
    <cellStyle name="千位分隔 4 3 4 5 2" xfId="35085"/>
    <cellStyle name="千位分隔 4 3 4 6 2" xfId="35086"/>
    <cellStyle name="千位分隔 4 3 5 5 2" xfId="35087"/>
    <cellStyle name="千位分隔 4 3 5 6 2" xfId="35088"/>
    <cellStyle name="千位分隔 4 3 9 2" xfId="35089"/>
    <cellStyle name="千位分隔 4 5 2 2 5 2" xfId="35090"/>
    <cellStyle name="千位分隔 4 5 2 2 6 2" xfId="35091"/>
    <cellStyle name="千位分隔 4 5 2 3 5 2" xfId="35092"/>
    <cellStyle name="千位分隔 4 5 2 3 6 2" xfId="35093"/>
    <cellStyle name="千位分隔 4 5 2 7 2" xfId="35094"/>
    <cellStyle name="千位分隔 4 5 2 8 2" xfId="35095"/>
    <cellStyle name="千位分隔 4 5 3 5 2" xfId="35096"/>
    <cellStyle name="千位分隔 4 5 3 6 2" xfId="35097"/>
    <cellStyle name="千位分隔 4 5 4 5 2" xfId="35098"/>
    <cellStyle name="千位分隔 4 5 4 6 2" xfId="35099"/>
    <cellStyle name="千位分隔 4 5 8 2" xfId="35100"/>
    <cellStyle name="千位分隔 4 5 9 2" xfId="35101"/>
    <cellStyle name="千位分隔 4 6 2 2 5 2" xfId="35102"/>
    <cellStyle name="千位分隔 4 6 2 2 6 2" xfId="35103"/>
    <cellStyle name="千位分隔 4 6 2 6 2" xfId="35104"/>
    <cellStyle name="千位分隔 4 6 2 7 2" xfId="35105"/>
    <cellStyle name="千位分隔 4 6 3 5 2" xfId="35106"/>
    <cellStyle name="千位分隔 4 6 3 6 2" xfId="35107"/>
    <cellStyle name="千位分隔 4 6 7 2" xfId="35108"/>
    <cellStyle name="千位分隔 4 6 8 2" xfId="35109"/>
    <cellStyle name="千位分隔 4 7 2 5 2" xfId="35110"/>
    <cellStyle name="千位分隔 4 7 2 6 2" xfId="35111"/>
    <cellStyle name="千位分隔 4 7 3 5 2" xfId="35112"/>
    <cellStyle name="千位分隔 4 7 3 6 2" xfId="35113"/>
    <cellStyle name="千位分隔 4 7 7 2" xfId="35114"/>
    <cellStyle name="千位分隔 4 7 8 2" xfId="35115"/>
    <cellStyle name="千位分隔 4 9 5 2" xfId="35116"/>
    <cellStyle name="千位分隔 4 9 6 2" xfId="35117"/>
    <cellStyle name="千位分隔 5 11 2" xfId="35118"/>
    <cellStyle name="千位分隔 5 12 2" xfId="35119"/>
    <cellStyle name="千位分隔 5 15" xfId="35120"/>
    <cellStyle name="千位分隔 5 2 10 2" xfId="35121"/>
    <cellStyle name="千位分隔 5 2 2 2 2 5 2" xfId="35122"/>
    <cellStyle name="千位分隔 5 2 2 2 2 6 2" xfId="35123"/>
    <cellStyle name="千位分隔 5 2 2 2 3 5 2" xfId="35124"/>
    <cellStyle name="千位分隔 5 2 2 2 3 6 2" xfId="35125"/>
    <cellStyle name="千位分隔 5 2 2 2 7 2" xfId="35126"/>
    <cellStyle name="千位分隔 5 2 2 2 8 2" xfId="35127"/>
    <cellStyle name="千位分隔 5 2 2 3 5 2" xfId="35128"/>
    <cellStyle name="千位分隔 5 2 2 3 6 2" xfId="35129"/>
    <cellStyle name="千位分隔 5 2 2 4 5 2" xfId="35130"/>
    <cellStyle name="千位分隔 5 2 2 4 6 2" xfId="35131"/>
    <cellStyle name="千位分隔 5 2 2 8 2" xfId="35132"/>
    <cellStyle name="千位分隔 5 2 2 9 2" xfId="35133"/>
    <cellStyle name="千位分隔 5 2 3 2 5 2" xfId="35134"/>
    <cellStyle name="千位分隔 5 2 3 2 6 2" xfId="35135"/>
    <cellStyle name="千位分隔 5 2 3 3 5 2" xfId="35136"/>
    <cellStyle name="千位分隔 5 2 3 3 6 2" xfId="35137"/>
    <cellStyle name="千位分隔 5 2 3 7 2" xfId="35138"/>
    <cellStyle name="千位分隔 5 2 3 8 2" xfId="35139"/>
    <cellStyle name="千位分隔 5 2 4 5 2" xfId="35140"/>
    <cellStyle name="千位分隔 5 2 4 6 2" xfId="35141"/>
    <cellStyle name="千位分隔 5 2 5 5 2" xfId="35142"/>
    <cellStyle name="千位分隔 5 2 5 6 2" xfId="35143"/>
    <cellStyle name="千位分隔 5 2 9 2" xfId="35144"/>
    <cellStyle name="千位分隔 5 3 10 2" xfId="35145"/>
    <cellStyle name="千位分隔 5 3 2 2 2 5 2" xfId="35146"/>
    <cellStyle name="千位分隔 5 3 2 2 2 6 2" xfId="35147"/>
    <cellStyle name="千位分隔 5 3 2 2 6 2" xfId="35148"/>
    <cellStyle name="千位分隔 5 3 2 2 7 2" xfId="35149"/>
    <cellStyle name="千位分隔 5 3 2 3 5 2" xfId="35150"/>
    <cellStyle name="千位分隔 5 3 2 3 6 2" xfId="35151"/>
    <cellStyle name="千位分隔 5 3 2 7 2" xfId="35152"/>
    <cellStyle name="千位分隔 5 3 2 8 2" xfId="35153"/>
    <cellStyle name="千位分隔 5 3 3 2 5 2" xfId="35154"/>
    <cellStyle name="千位分隔 5 3 3 2 6 2" xfId="35155"/>
    <cellStyle name="千位分隔 5 3 3 3 5 2" xfId="35156"/>
    <cellStyle name="千位分隔 5 3 3 3 6 2" xfId="35157"/>
    <cellStyle name="千位分隔 5 3 3 7 2" xfId="35158"/>
    <cellStyle name="千位分隔 5 3 3 8 2" xfId="35159"/>
    <cellStyle name="千位分隔 5 3 4 5 2" xfId="35160"/>
    <cellStyle name="千位分隔 5 3 4 6 2" xfId="35161"/>
    <cellStyle name="千位分隔 5 3 5 5 2" xfId="35162"/>
    <cellStyle name="千位分隔 5 3 5 6 2" xfId="35163"/>
    <cellStyle name="千位分隔 5 3 9 2" xfId="35164"/>
    <cellStyle name="千位分隔 5 4 2 2 5 2" xfId="35165"/>
    <cellStyle name="千位分隔 5 4 2 2 6 2" xfId="35166"/>
    <cellStyle name="千位分隔 5 4 2 3 5 2" xfId="35167"/>
    <cellStyle name="千位分隔 5 4 2 3 6 2" xfId="35168"/>
    <cellStyle name="千位分隔 5 4 2 7 2" xfId="35169"/>
    <cellStyle name="千位分隔 5 4 2 8 2" xfId="35170"/>
    <cellStyle name="千位分隔 5 4 3 5 2" xfId="35171"/>
    <cellStyle name="千位分隔 5 4 3 6 2" xfId="35172"/>
    <cellStyle name="千位分隔 5 4 4 5 2" xfId="35173"/>
    <cellStyle name="千位分隔 5 4 4 6 2" xfId="35174"/>
    <cellStyle name="千位分隔 5 4 8 2" xfId="35175"/>
    <cellStyle name="千位分隔 5 4 9 2" xfId="35176"/>
    <cellStyle name="千位分隔 5 5 2 5 2" xfId="35177"/>
    <cellStyle name="千位分隔 5 5 2 6 2" xfId="35178"/>
    <cellStyle name="千位分隔 5 5 7 2" xfId="35179"/>
    <cellStyle name="千位分隔 5 5 8 2" xfId="35180"/>
    <cellStyle name="千位分隔 5 6 2 5 2" xfId="35181"/>
    <cellStyle name="千位分隔 5 6 2 6 2" xfId="35182"/>
    <cellStyle name="千位分隔 5 6 6 2" xfId="35183"/>
    <cellStyle name="千位分隔 5 6 7 2" xfId="35184"/>
    <cellStyle name="千位分隔 5 7 5 2" xfId="35185"/>
    <cellStyle name="千位分隔 5 7 6 2" xfId="35186"/>
    <cellStyle name="千位分隔 6 12 2" xfId="35187"/>
    <cellStyle name="千位分隔 6 13 2" xfId="35188"/>
    <cellStyle name="千位分隔 6 2 10 2" xfId="35189"/>
    <cellStyle name="千位分隔 6 2 11 2" xfId="35190"/>
    <cellStyle name="千位分隔 6 2 2 2 2 5 2" xfId="35191"/>
    <cellStyle name="千位分隔 6 2 2 2 2 6 2" xfId="35192"/>
    <cellStyle name="千位分隔 6 2 2 2 3 5 2" xfId="35193"/>
    <cellStyle name="千位分隔 6 2 2 2 3 6 2" xfId="35194"/>
    <cellStyle name="千位分隔 6 2 2 2 7 2" xfId="35195"/>
    <cellStyle name="千位分隔 6 2 2 2 8 2" xfId="35196"/>
    <cellStyle name="千位分隔 6 2 2 3 5 2" xfId="35197"/>
    <cellStyle name="千位分隔 6 2 2 3 6 2" xfId="35198"/>
    <cellStyle name="千位分隔 6 2 2 4 5 2" xfId="35199"/>
    <cellStyle name="千位分隔 6 2 2 4 6 2" xfId="35200"/>
    <cellStyle name="千位分隔 6 2 2 8 2" xfId="35201"/>
    <cellStyle name="千位分隔 6 2 2 9 2" xfId="35202"/>
    <cellStyle name="千位分隔 6 2 3 2 2 5 2" xfId="35203"/>
    <cellStyle name="千位分隔 6 2 3 2 2 6 2" xfId="35204"/>
    <cellStyle name="千位分隔 6 2 3 2 6 2" xfId="35205"/>
    <cellStyle name="千位分隔 6 2 3 2 7 2" xfId="35206"/>
    <cellStyle name="千位分隔 6 2 3 3 5 2" xfId="35207"/>
    <cellStyle name="千位分隔 6 2 3 3 6 2" xfId="35208"/>
    <cellStyle name="千位分隔 6 2 3 7 2" xfId="35209"/>
    <cellStyle name="千位分隔 6 2 3 8 2" xfId="35210"/>
    <cellStyle name="千位分隔 6 2 4 2 5 2" xfId="35211"/>
    <cellStyle name="千位分隔 6 2 4 2 6 2" xfId="35212"/>
    <cellStyle name="千位分隔 6 2 4 3 5 2" xfId="35213"/>
    <cellStyle name="千位分隔 6 2 4 3 6 2" xfId="35214"/>
    <cellStyle name="千位分隔 6 2 4 7 2" xfId="35215"/>
    <cellStyle name="千位分隔 6 2 4 8 2" xfId="35216"/>
    <cellStyle name="千位分隔 6 2 5 5 2" xfId="35217"/>
    <cellStyle name="千位分隔 6 2 5 6 2" xfId="35218"/>
    <cellStyle name="千位分隔 6 2 6 5 2" xfId="35219"/>
    <cellStyle name="千位分隔 6 2 6 6 2" xfId="35220"/>
    <cellStyle name="千位分隔 6 3 10 2" xfId="35221"/>
    <cellStyle name="千位分隔 6 3 2 2 2 5 2" xfId="35222"/>
    <cellStyle name="千位分隔 6 3 2 2 2 6 2" xfId="35223"/>
    <cellStyle name="千位分隔 6 3 2 2 6 2" xfId="35224"/>
    <cellStyle name="千位分隔 6 3 2 2 7 2" xfId="35225"/>
    <cellStyle name="千位分隔 6 3 2 3 5 2" xfId="35226"/>
    <cellStyle name="千位分隔 6 3 2 3 6 2" xfId="35227"/>
    <cellStyle name="千位分隔 6 3 2 7 2" xfId="35228"/>
    <cellStyle name="千位分隔 6 3 2 8 2" xfId="35229"/>
    <cellStyle name="千位分隔 6 3 3 2 5 2" xfId="35230"/>
    <cellStyle name="千位分隔 6 3 3 2 6 2" xfId="35231"/>
    <cellStyle name="千位分隔 6 3 3 3 5 2" xfId="35232"/>
    <cellStyle name="千位分隔 6 3 3 3 6 2" xfId="35233"/>
    <cellStyle name="千位分隔 6 3 3 7 2" xfId="35234"/>
    <cellStyle name="千位分隔 6 3 3 8 2" xfId="35235"/>
    <cellStyle name="千位分隔 6 3 4 5 2" xfId="35236"/>
    <cellStyle name="千位分隔 6 3 4 6 2" xfId="35237"/>
    <cellStyle name="千位分隔 6 3 5 5 2" xfId="35238"/>
    <cellStyle name="千位分隔 6 3 5 6 2" xfId="35239"/>
    <cellStyle name="千位分隔 6 3 9 2" xfId="35240"/>
    <cellStyle name="千位分隔 6 4 2 2 5 2" xfId="35241"/>
    <cellStyle name="千位分隔 6 4 2 2 6 2" xfId="35242"/>
    <cellStyle name="千位分隔 6 4 2 3 5 2" xfId="35243"/>
    <cellStyle name="千位分隔 6 4 2 3 6 2" xfId="35244"/>
    <cellStyle name="千位分隔 6 4 2 7 2" xfId="35245"/>
    <cellStyle name="千位分隔 6 4 2 8 2" xfId="35246"/>
    <cellStyle name="千位分隔 6 4 3 5 2" xfId="35247"/>
    <cellStyle name="千位分隔 6 4 3 6 2" xfId="35248"/>
    <cellStyle name="千位分隔 6 4 4 5 2" xfId="35249"/>
    <cellStyle name="千位分隔 6 4 4 6 2" xfId="35250"/>
    <cellStyle name="千位分隔 6 4 8 2" xfId="35251"/>
    <cellStyle name="千位分隔 6 4 9 2" xfId="35252"/>
    <cellStyle name="千位分隔 6 5 2 2 5 2" xfId="35253"/>
    <cellStyle name="千位分隔 6 5 2 2 6 2" xfId="35254"/>
    <cellStyle name="千位分隔 6 5 2 6 2" xfId="35255"/>
    <cellStyle name="千位分隔 6 5 2 7 2" xfId="35256"/>
    <cellStyle name="千位分隔 6 5 3 5 2" xfId="35257"/>
    <cellStyle name="千位分隔 6 5 3 6 2" xfId="35258"/>
    <cellStyle name="千位分隔 6 5 7 2" xfId="35259"/>
    <cellStyle name="千位分隔 6 5 8 2" xfId="35260"/>
    <cellStyle name="千位分隔 6 6 2 5 2" xfId="35261"/>
    <cellStyle name="千位分隔 6 6 2 6 2" xfId="35262"/>
    <cellStyle name="千位分隔 6 6 3 5 2" xfId="35263"/>
    <cellStyle name="千位分隔 6 6 3 6 2" xfId="35264"/>
    <cellStyle name="千位分隔 6 6 7 2" xfId="35265"/>
    <cellStyle name="千位分隔 6 6 8 2" xfId="35266"/>
    <cellStyle name="千位分隔 6 7 5 2" xfId="35267"/>
    <cellStyle name="千位分隔 6 7 6 2" xfId="35268"/>
    <cellStyle name="千位分隔 6 8 5 2" xfId="35269"/>
    <cellStyle name="千位分隔 6 8 6 2" xfId="35270"/>
    <cellStyle name="千位分隔 7 10 2" xfId="35271"/>
    <cellStyle name="千位分隔 7 2 2 2 5 2" xfId="35272"/>
    <cellStyle name="千位分隔 7 2 2 2 6 2" xfId="35273"/>
    <cellStyle name="千位分隔 7 2 2 3 5 2" xfId="35274"/>
    <cellStyle name="千位分隔 7 2 2 3 6 2" xfId="35275"/>
    <cellStyle name="千位分隔 7 2 2 7 2" xfId="35276"/>
    <cellStyle name="千位分隔 7 2 2 8 2" xfId="35277"/>
    <cellStyle name="千位分隔 7 2 3 5 2" xfId="35278"/>
    <cellStyle name="千位分隔 7 2 3 6 2" xfId="35279"/>
    <cellStyle name="千位分隔 7 2 4 5 2" xfId="35280"/>
    <cellStyle name="千位分隔 7 2 4 6 2" xfId="35281"/>
    <cellStyle name="千位分隔 7 2 8 2" xfId="35282"/>
    <cellStyle name="千位分隔 7 2 9 2" xfId="35283"/>
    <cellStyle name="千位分隔 7 3 2 5 2" xfId="35284"/>
    <cellStyle name="千位分隔 7 3 2 6 2" xfId="35285"/>
    <cellStyle name="千位分隔 7 3 7 2" xfId="35286"/>
    <cellStyle name="千位分隔 7 3 8 2" xfId="35287"/>
    <cellStyle name="千位分隔 7 4 2 5 2" xfId="35288"/>
    <cellStyle name="千位分隔 7 4 2 6 2" xfId="35289"/>
    <cellStyle name="千位分隔 7 4 6 2" xfId="35290"/>
    <cellStyle name="千位分隔 7 4 7 2" xfId="35291"/>
    <cellStyle name="千位分隔 7 5 5 2" xfId="35292"/>
    <cellStyle name="千位分隔 7 5 6 2" xfId="35293"/>
    <cellStyle name="千位分隔 7 9 2" xfId="35294"/>
    <cellStyle name="强调文字颜色 1 3" xfId="35295"/>
    <cellStyle name="强调文字颜色 2 3" xfId="35296"/>
    <cellStyle name="强调文字颜色 3 3" xfId="35297"/>
    <cellStyle name="强调文字颜色 4 3" xfId="35298"/>
    <cellStyle name="强调文字颜色 5 3" xfId="35299"/>
    <cellStyle name="强调文字颜色 6 3" xfId="35300"/>
    <cellStyle name="适中 4" xfId="35301"/>
    <cellStyle name="输出 4" xfId="35302"/>
    <cellStyle name="输入 4" xfId="35303"/>
    <cellStyle name="常规 116" xfId="35304"/>
    <cellStyle name="常规 119" xfId="35305"/>
    <cellStyle name="常规 120" xfId="35306"/>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s>
</file>

<file path=xl/drawings/_rels/drawing2.xml.rels><Relationships xmlns="http://schemas.openxmlformats.org/package/2006/relationships"><Relationship Type="http://schemas.openxmlformats.org/officeDocument/2006/relationships/image" Target="/xl/media/image10.png" Id="rId1" /><Relationship Type="http://schemas.openxmlformats.org/officeDocument/2006/relationships/image" Target="/xl/media/image11.png" Id="rId2" /></Relationships>
</file>

<file path=xl/drawings/_rels/drawing3.xml.rels><Relationships xmlns="http://schemas.openxmlformats.org/package/2006/relationships"><Relationship Type="http://schemas.openxmlformats.org/officeDocument/2006/relationships/image" Target="/xl/media/image12.png" Id="rId1"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s>
</file>

<file path=xl/drawings/_rels/drawing6.xml.rels><Relationships xmlns="http://schemas.openxmlformats.org/package/2006/relationships"><Relationship Type="http://schemas.openxmlformats.org/officeDocument/2006/relationships/image" Target="/xl/media/image16.png" Id="rId1" /><Relationship Type="http://schemas.openxmlformats.org/officeDocument/2006/relationships/image" Target="/xl/media/image17.png" Id="rId2" /><Relationship Type="http://schemas.openxmlformats.org/officeDocument/2006/relationships/image" Target="/xl/media/image18.png" Id="rId3" /><Relationship Type="http://schemas.openxmlformats.org/officeDocument/2006/relationships/image" Target="/xl/media/image19.png" Id="rId4" /></Relationships>
</file>

<file path=xl/drawings/_rels/drawing7.xml.rels><Relationships xmlns="http://schemas.openxmlformats.org/package/2006/relationships"><Relationship Type="http://schemas.openxmlformats.org/officeDocument/2006/relationships/image" Target="/xl/media/image20.png" Id="rId1" /><Relationship Type="http://schemas.openxmlformats.org/officeDocument/2006/relationships/image" Target="/xl/media/image21.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123825</colOff>
      <row>79</row>
      <rowOff>47626</rowOff>
    </from>
    <to>
      <col>19</col>
      <colOff>502978</colOff>
      <row>82</row>
      <rowOff>46531</rowOff>
    </to>
    <pic>
      <nvPicPr>
        <cNvPr id="9" name="图片 1"/>
        <cNvPicPr>
          <a:picLocks noChangeAspect="1"/>
        </cNvPicPr>
      </nvPicPr>
      <blipFill>
        <a:blip r:embed="rId1"/>
        <a:stretch>
          <a:fillRect/>
        </a:stretch>
      </blipFill>
      <spPr>
        <a:xfrm>
          <a:off x="11439525" y="16144876"/>
          <a:ext cx="4274385" cy="628650"/>
        </a:xfrm>
        <a:prstGeom prst="rect">
          <avLst/>
        </a:prstGeom>
        <a:ln>
          <a:prstDash val="solid"/>
        </a:ln>
      </spPr>
    </pic>
    <clientData/>
  </twoCellAnchor>
  <twoCellAnchor editAs="oneCell">
    <from>
      <col>12</col>
      <colOff>276225</colOff>
      <row>97</row>
      <rowOff>171450</rowOff>
    </from>
    <to>
      <col>19</col>
      <colOff>75502</colOff>
      <row>114</row>
      <rowOff>163633</rowOff>
    </to>
    <pic>
      <nvPicPr>
        <cNvPr id="2" name="图片 1"/>
        <cNvPicPr>
          <a:picLocks noChangeAspect="1"/>
        </cNvPicPr>
      </nvPicPr>
      <blipFill>
        <a:blip r:embed="rId2"/>
        <a:stretch>
          <a:fillRect/>
        </a:stretch>
      </blipFill>
      <spPr>
        <a:xfrm>
          <a:off x="10144125" y="19202400"/>
          <a:ext cx="5580952" cy="2980952"/>
        </a:xfrm>
        <a:prstGeom prst="rect">
          <avLst/>
        </a:prstGeom>
        <a:ln>
          <a:prstDash val="solid"/>
        </a:ln>
      </spPr>
    </pic>
    <clientData/>
  </twoCellAnchor>
  <twoCellAnchor editAs="oneCell">
    <from>
      <col>12</col>
      <colOff>581025</colOff>
      <row>114</row>
      <rowOff>38100</rowOff>
    </from>
    <to>
      <col>18</col>
      <colOff>46193</colOff>
      <row>119</row>
      <rowOff>150701</rowOff>
    </to>
    <pic>
      <nvPicPr>
        <cNvPr id="3" name="图片 2"/>
        <cNvPicPr>
          <a:picLocks noChangeAspect="1"/>
        </cNvPicPr>
      </nvPicPr>
      <blipFill>
        <a:blip r:embed="rId3"/>
        <a:stretch>
          <a:fillRect/>
        </a:stretch>
      </blipFill>
      <spPr>
        <a:xfrm>
          <a:off x="10448925" y="23888700"/>
          <a:ext cx="4504762" cy="1028589"/>
        </a:xfrm>
        <a:prstGeom prst="rect">
          <avLst/>
        </a:prstGeom>
        <a:ln>
          <a:prstDash val="solid"/>
        </a:ln>
      </spPr>
    </pic>
    <clientData/>
  </twoCellAnchor>
  <twoCellAnchor editAs="oneCell">
    <from>
      <col>12</col>
      <colOff>171450</colOff>
      <row>88</row>
      <rowOff>95250</rowOff>
    </from>
    <to>
      <col>16</col>
      <colOff>541558</colOff>
      <row>91</row>
      <rowOff>152314</rowOff>
    </to>
    <pic>
      <nvPicPr>
        <cNvPr id="18" name="图片 4"/>
        <cNvPicPr>
          <a:picLocks noChangeAspect="1"/>
        </cNvPicPr>
      </nvPicPr>
      <blipFill>
        <a:blip r:embed="rId4"/>
        <a:stretch>
          <a:fillRect/>
        </a:stretch>
      </blipFill>
      <spPr>
        <a:xfrm>
          <a:off x="10039350" y="18497550"/>
          <a:ext cx="3980952" cy="685714"/>
        </a:xfrm>
        <a:prstGeom prst="rect">
          <avLst/>
        </a:prstGeom>
        <a:ln>
          <a:prstDash val="solid"/>
        </a:ln>
      </spPr>
    </pic>
    <clientData/>
  </twoCellAnchor>
  <twoCellAnchor editAs="oneCell">
    <from>
      <col>15</col>
      <colOff>381077</colOff>
      <row>152</row>
      <rowOff>133350</rowOff>
    </from>
    <to>
      <col>21</col>
      <colOff>74118</colOff>
      <row>175</row>
      <rowOff>49350</rowOff>
    </to>
    <pic>
      <nvPicPr>
        <cNvPr id="32" name="图片 1"/>
        <cNvPicPr>
          <a:picLocks noChangeAspect="1"/>
        </cNvPicPr>
      </nvPicPr>
      <blipFill>
        <a:blip r:embed="rId5"/>
        <a:stretch>
          <a:fillRect/>
        </a:stretch>
      </blipFill>
      <spPr>
        <a:xfrm>
          <a:off x="13230302" y="27879675"/>
          <a:ext cx="4152823" cy="4049357"/>
        </a:xfrm>
        <a:prstGeom prst="rect">
          <avLst/>
        </a:prstGeom>
        <a:ln>
          <a:prstDash val="solid"/>
        </a:ln>
      </spPr>
    </pic>
    <clientData/>
  </twoCellAnchor>
  <twoCellAnchor editAs="oneCell">
    <from>
      <col>10</col>
      <colOff>1057274</colOff>
      <row>153</row>
      <rowOff>103266</rowOff>
    </from>
    <to>
      <col>15</col>
      <colOff>416793</colOff>
      <row>160</row>
      <rowOff>150317</rowOff>
    </to>
    <pic>
      <nvPicPr>
        <cNvPr id="37" name="图片 3"/>
        <cNvPicPr>
          <a:picLocks noChangeAspect="1"/>
        </cNvPicPr>
      </nvPicPr>
      <blipFill>
        <a:blip r:embed="rId6"/>
        <a:stretch>
          <a:fillRect/>
        </a:stretch>
      </blipFill>
      <spPr>
        <a:xfrm>
          <a:off x="9248774" y="28040091"/>
          <a:ext cx="3990976" cy="1325483"/>
        </a:xfrm>
        <a:prstGeom prst="rect">
          <avLst/>
        </a:prstGeom>
        <a:ln>
          <a:prstDash val="solid"/>
        </a:ln>
      </spPr>
    </pic>
    <clientData/>
  </twoCellAnchor>
  <twoCellAnchor editAs="oneCell">
    <from>
      <col>16</col>
      <colOff>487026</colOff>
      <row>199</row>
      <rowOff>0</rowOff>
    </from>
    <to>
      <col>22</col>
      <colOff>579931</colOff>
      <row>203</row>
      <rowOff>160073</rowOff>
    </to>
    <pic>
      <nvPicPr>
        <cNvPr id="6" name="图片 3"/>
        <cNvPicPr>
          <a:picLocks noChangeAspect="1"/>
        </cNvPicPr>
      </nvPicPr>
      <blipFill>
        <a:blip r:embed="rId7"/>
        <a:stretch>
          <a:fillRect/>
        </a:stretch>
      </blipFill>
      <spPr>
        <a:xfrm>
          <a:off x="14203026" y="36290250"/>
          <a:ext cx="4512012" cy="894367"/>
        </a:xfrm>
        <a:prstGeom prst="rect">
          <avLst/>
        </a:prstGeom>
        <a:ln>
          <a:prstDash val="solid"/>
        </a:ln>
      </spPr>
    </pic>
    <clientData/>
  </twoCellAnchor>
  <twoCellAnchor editAs="oneCell">
    <from>
      <col>16</col>
      <colOff>388396</colOff>
      <row>204</row>
      <rowOff>161926</rowOff>
    </from>
    <to>
      <col>22</col>
      <colOff>381001</colOff>
      <row>211</row>
      <rowOff>76201</rowOff>
    </to>
    <pic>
      <nvPicPr>
        <cNvPr id="4" name="图片 4"/>
        <cNvPicPr>
          <a:picLocks noChangeAspect="1"/>
        </cNvPicPr>
      </nvPicPr>
      <blipFill>
        <a:blip r:embed="rId8"/>
        <a:stretch>
          <a:fillRect/>
        </a:stretch>
      </blipFill>
      <spPr>
        <a:xfrm>
          <a:off x="14056771" y="37357051"/>
          <a:ext cx="4412205" cy="1181100"/>
        </a:xfrm>
        <a:prstGeom prst="rect">
          <avLst/>
        </a:prstGeom>
        <a:ln>
          <a:prstDash val="solid"/>
        </a:ln>
      </spPr>
    </pic>
    <clientData/>
  </twoCellAnchor>
  <twoCellAnchor editAs="oneCell">
    <from>
      <col>11</col>
      <colOff>314324</colOff>
      <row>204</row>
      <rowOff>123468</rowOff>
    </from>
    <to>
      <col>13</col>
      <colOff>925190</colOff>
      <row>215</row>
      <rowOff>49943</rowOff>
    </to>
    <pic>
      <nvPicPr>
        <cNvPr id="11" name="图片 4"/>
        <cNvPicPr>
          <a:picLocks noChangeAspect="1"/>
        </cNvPicPr>
      </nvPicPr>
      <blipFill>
        <a:blip r:embed="rId9"/>
        <a:stretch>
          <a:fillRect/>
        </a:stretch>
      </blipFill>
      <spPr>
        <a:xfrm>
          <a:off x="9677399" y="37318593"/>
          <a:ext cx="2162175" cy="1859873"/>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16</col>
      <colOff>71218</colOff>
      <row>97</row>
      <rowOff>95250</rowOff>
    </from>
    <to>
      <col>22</col>
      <colOff>350062</colOff>
      <row>117</row>
      <rowOff>49786</rowOff>
    </to>
    <pic>
      <nvPicPr>
        <cNvPr id="6" name="图片 1"/>
        <cNvPicPr>
          <a:picLocks noChangeAspect="1"/>
        </cNvPicPr>
      </nvPicPr>
      <blipFill>
        <a:blip r:embed="rId1"/>
        <a:stretch>
          <a:fillRect/>
        </a:stretch>
      </blipFill>
      <spPr>
        <a:xfrm>
          <a:off x="15330268" y="17125950"/>
          <a:ext cx="4253130" cy="3629011"/>
        </a:xfrm>
        <a:prstGeom prst="rect">
          <avLst/>
        </a:prstGeom>
        <a:ln>
          <a:prstDash val="solid"/>
        </a:ln>
      </spPr>
    </pic>
    <clientData/>
  </twoCellAnchor>
  <twoCellAnchor editAs="oneCell">
    <from>
      <col>15</col>
      <colOff>485775</colOff>
      <row>116</row>
      <rowOff>454</rowOff>
    </from>
    <to>
      <col>22</col>
      <colOff>200021</colOff>
      <row>126</row>
      <rowOff>55343</rowOff>
    </to>
    <pic>
      <nvPicPr>
        <cNvPr id="2" name="图片 1"/>
        <cNvPicPr>
          <a:picLocks noChangeAspect="1"/>
        </cNvPicPr>
      </nvPicPr>
      <blipFill>
        <a:blip r:embed="rId2"/>
        <a:stretch>
          <a:fillRect/>
        </a:stretch>
      </blipFill>
      <spPr>
        <a:xfrm>
          <a:off x="15230475" y="21012604"/>
          <a:ext cx="4314821" cy="1856702"/>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17</col>
      <colOff>161926</colOff>
      <row>19</row>
      <rowOff>47625</rowOff>
    </from>
    <to>
      <col>23</col>
      <colOff>533401</colOff>
      <row>22</row>
      <rowOff>1942</rowOff>
    </to>
    <pic>
      <nvPicPr>
        <cNvPr id="4" name="图片 1"/>
        <cNvPicPr>
          <a:picLocks noChangeAspect="1"/>
        </cNvPicPr>
      </nvPicPr>
      <blipFill>
        <a:blip r:embed="rId1"/>
        <a:stretch>
          <a:fillRect/>
        </a:stretch>
      </blipFill>
      <spPr>
        <a:xfrm>
          <a:off x="12582526" y="3486150"/>
          <a:ext cx="4038600" cy="494067"/>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19</col>
      <colOff>523874</colOff>
      <row>36</row>
      <rowOff>76200</rowOff>
    </from>
    <to>
      <col>25</col>
      <colOff>188467</colOff>
      <row>53</row>
      <rowOff>17462</rowOff>
    </to>
    <pic>
      <nvPicPr>
        <cNvPr id="13" name="图片 1"/>
        <cNvPicPr>
          <a:picLocks noChangeAspect="1"/>
        </cNvPicPr>
      </nvPicPr>
      <blipFill>
        <a:blip r:embed="rId1"/>
        <a:stretch>
          <a:fillRect/>
        </a:stretch>
      </blipFill>
      <spPr>
        <a:xfrm>
          <a:off x="15144749" y="7620000"/>
          <a:ext cx="3622231" cy="3067050"/>
        </a:xfrm>
        <a:prstGeom prst="rect">
          <avLst/>
        </a:prstGeom>
        <a:ln>
          <a:prstDash val="solid"/>
        </a:ln>
      </spPr>
    </pic>
    <clientData/>
  </twoCellAnchor>
  <twoCellAnchor editAs="oneCell">
    <from>
      <col>17</col>
      <colOff>276224</colOff>
      <row>84</row>
      <rowOff>57150</rowOff>
    </from>
    <to>
      <col>26</col>
      <colOff>190105</colOff>
      <row>87</row>
      <rowOff>107738</rowOff>
    </to>
    <pic>
      <nvPicPr>
        <cNvPr id="14" name="图片 1"/>
        <cNvPicPr>
          <a:picLocks noChangeAspect="1"/>
        </cNvPicPr>
      </nvPicPr>
      <blipFill>
        <a:blip r:embed="rId2"/>
        <a:stretch>
          <a:fillRect/>
        </a:stretch>
      </blipFill>
      <spPr>
        <a:xfrm>
          <a:off x="13106399" y="14916150"/>
          <a:ext cx="6316269" cy="599863"/>
        </a:xfrm>
        <a:prstGeom prst="rect">
          <avLst/>
        </a:prstGeom>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from>
      <col>14</col>
      <colOff>276225</colOff>
      <row>3</row>
      <rowOff>1</rowOff>
    </from>
    <to>
      <col>23</col>
      <colOff>200025</colOff>
      <row>27</row>
      <rowOff>0</rowOff>
    </to>
    <grpSp>
      <nvGrpSpPr>
        <cNvPr id="12" name="组合 5"/>
        <cNvGrpSpPr/>
      </nvGrpSpPr>
      <grpSpPr>
        <a:xfrm rot="0">
          <a:off x="10629900" y="628651"/>
          <a:ext cx="6096000" cy="5029199"/>
          <a:chOff x="7942720" y="457201"/>
          <a:chExt cx="7021055" cy="5875635"/>
        </a:xfrm>
      </grpSpPr>
      <pic>
        <nvPicPr>
          <cNvPr id="16" name="图片 3"/>
          <cNvPicPr>
            <a:picLocks noChangeAspect="1"/>
          </cNvPicPr>
        </nvPicPr>
        <blipFill>
          <a:blip r:embed="rId1"/>
          <a:stretch>
            <a:fillRect/>
          </a:stretch>
        </blipFill>
        <spPr>
          <a:xfrm>
            <a:off x="11523763" y="476250"/>
            <a:ext cx="3440012" cy="4106920"/>
          </a:xfrm>
          <a:prstGeom prst="rect">
            <avLst/>
          </a:prstGeom>
          <a:ln>
            <a:prstDash val="solid"/>
          </a:ln>
        </spPr>
      </pic>
    </grpSp>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15</col>
      <colOff>684181</colOff>
      <row>26</row>
      <rowOff>173076</rowOff>
    </from>
    <to>
      <col>24</col>
      <colOff>238422</colOff>
      <row>48</row>
      <rowOff>114300</rowOff>
    </to>
    <pic>
      <nvPicPr>
        <cNvPr id="2" name="图片 1"/>
        <cNvPicPr>
          <a:picLocks noChangeAspect="1"/>
        </cNvPicPr>
      </nvPicPr>
      <blipFill>
        <a:blip r:embed="rId1"/>
        <a:stretch>
          <a:fillRect/>
        </a:stretch>
      </blipFill>
      <spPr>
        <a:xfrm>
          <a:off x="13807514" y="5676409"/>
          <a:ext cx="6120141" cy="3922674"/>
        </a:xfrm>
        <a:prstGeom prst="rect">
          <avLst/>
        </a:prstGeom>
        <a:ln>
          <a:prstDash val="solid"/>
        </a:ln>
      </spPr>
    </pic>
    <clientData/>
  </twoCellAnchor>
  <twoCellAnchor editAs="oneCell">
    <from>
      <col>15</col>
      <colOff>541867</colOff>
      <row>8</row>
      <rowOff>104224</rowOff>
    </from>
    <to>
      <col>23</col>
      <colOff>478096</colOff>
      <row>23</row>
      <rowOff>122172</rowOff>
    </to>
    <pic>
      <nvPicPr>
        <cNvPr id="10" name="图片 2"/>
        <cNvPicPr>
          <a:picLocks noChangeAspect="1"/>
        </cNvPicPr>
      </nvPicPr>
      <blipFill>
        <a:blip r:embed="rId2"/>
        <a:stretch>
          <a:fillRect/>
        </a:stretch>
      </blipFill>
      <spPr>
        <a:xfrm>
          <a:off x="13527617" y="1543557"/>
          <a:ext cx="5754417" cy="2775532"/>
        </a:xfrm>
        <a:prstGeom prst="rect">
          <avLst/>
        </a:prstGeom>
        <a:ln>
          <a:prstDash val="solid"/>
        </a:ln>
      </spPr>
    </pic>
    <clientData/>
  </twoCellAnchor>
  <twoCellAnchor editAs="oneCell">
    <from>
      <col>16</col>
      <colOff>125412</colOff>
      <row>48</row>
      <rowOff>21167</rowOff>
    </from>
    <to>
      <col>23</col>
      <colOff>369455</colOff>
      <row>64</row>
      <rowOff>84975</rowOff>
    </to>
    <pic>
      <nvPicPr>
        <cNvPr id="4" name="图片 1"/>
        <cNvPicPr>
          <a:picLocks noChangeAspect="1"/>
        </cNvPicPr>
      </nvPicPr>
      <blipFill>
        <a:blip r:embed="rId3"/>
        <a:stretch>
          <a:fillRect/>
        </a:stretch>
      </blipFill>
      <spPr>
        <a:xfrm>
          <a:off x="13386329" y="8657167"/>
          <a:ext cx="5528302" cy="3411846"/>
        </a:xfrm>
        <a:prstGeom prst="rect">
          <avLst/>
        </a:prstGeom>
        <a:ln>
          <a:prstDash val="solid"/>
        </a:ln>
      </spPr>
    </pic>
    <clientData/>
  </twoCellAnchor>
  <twoCellAnchor editAs="oneCell">
    <from>
      <col>17</col>
      <colOff>21166</colOff>
      <row>56</row>
      <rowOff>179686</rowOff>
    </from>
    <to>
      <col>23</col>
      <colOff>107923</colOff>
      <row>74</row>
      <rowOff>9298</rowOff>
    </to>
    <pic>
      <nvPicPr>
        <cNvPr id="7" name="图片 2"/>
        <cNvPicPr>
          <a:picLocks noChangeAspect="1"/>
        </cNvPicPr>
      </nvPicPr>
      <blipFill>
        <a:blip r:embed="rId4"/>
        <a:stretch>
          <a:fillRect/>
        </a:stretch>
      </blipFill>
      <spPr>
        <a:xfrm>
          <a:off x="14552083" y="10255019"/>
          <a:ext cx="4442857" cy="3090337"/>
        </a:xfrm>
        <a:prstGeom prst="rect">
          <avLst/>
        </a:prstGeom>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13</col>
      <colOff>247651</colOff>
      <row>158</row>
      <rowOff>66675</rowOff>
    </from>
    <to>
      <col>18</col>
      <colOff>677956</colOff>
      <row>173</row>
      <rowOff>69038</rowOff>
    </to>
    <pic>
      <nvPicPr>
        <cNvPr id="5" name="图片 2"/>
        <cNvPicPr>
          <a:picLocks noChangeAspect="1"/>
        </cNvPicPr>
      </nvPicPr>
      <blipFill>
        <a:blip r:embed="rId1"/>
        <a:stretch>
          <a:fillRect/>
        </a:stretch>
      </blipFill>
      <spPr>
        <a:xfrm>
          <a:off x="11715751" y="16621125"/>
          <a:ext cx="4572000" cy="2752726"/>
        </a:xfrm>
        <a:prstGeom prst="rect">
          <avLst/>
        </a:prstGeom>
        <a:ln>
          <a:prstDash val="solid"/>
        </a:ln>
      </spPr>
    </pic>
    <clientData/>
  </twoCellAnchor>
  <twoCellAnchor editAs="oneCell">
    <from>
      <col>12</col>
      <colOff>619125</colOff>
      <row>174</row>
      <rowOff>114304</rowOff>
    </from>
    <to>
      <col>23</col>
      <colOff>525369</colOff>
      <row>185</row>
      <rowOff>161925</rowOff>
    </to>
    <pic>
      <nvPicPr>
        <cNvPr id="2" name="图片 1"/>
        <cNvPicPr>
          <a:picLocks noChangeAspect="1"/>
        </cNvPicPr>
      </nvPicPr>
      <blipFill>
        <a:blip r:embed="rId2"/>
        <a:stretch>
          <a:fillRect/>
        </a:stretch>
      </blipFill>
      <spPr>
        <a:xfrm>
          <a:off x="11401425" y="22955254"/>
          <a:ext cx="8088219" cy="2035171"/>
        </a:xfrm>
        <a:prstGeom prst="rect">
          <avLst/>
        </a:prstGeom>
        <a:l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drawing" Target="/xl/drawings/drawing3.xml" Id="rId1" /></Relationships>
</file>

<file path=xl/worksheets/_rels/sheet19.xml.rels><Relationships xmlns="http://schemas.openxmlformats.org/package/2006/relationships"><Relationship Type="http://schemas.openxmlformats.org/officeDocument/2006/relationships/drawing" Target="/xl/drawings/drawing4.xml" Id="rId1" /></Relationships>
</file>

<file path=xl/worksheets/_rels/sheet20.xml.rels><Relationships xmlns="http://schemas.openxmlformats.org/package/2006/relationships"><Relationship Type="http://schemas.openxmlformats.org/officeDocument/2006/relationships/drawing" Target="/xl/drawings/drawing5.xml" Id="rId1" /></Relationships>
</file>

<file path=xl/worksheets/_rels/sheet23.xml.rels><Relationships xmlns="http://schemas.openxmlformats.org/package/2006/relationships"><Relationship Type="http://schemas.openxmlformats.org/officeDocument/2006/relationships/drawing" Target="/xl/drawings/drawing6.xml" Id="rId1" /></Relationships>
</file>

<file path=xl/worksheets/_rels/sheet26.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N22"/>
  <sheetViews>
    <sheetView zoomScale="85" zoomScaleNormal="85" workbookViewId="0">
      <pane xSplit="1" topLeftCell="B1" activePane="topRight" state="frozen"/>
      <selection pane="topRight" activeCell="D23" sqref="D23:D24"/>
    </sheetView>
  </sheetViews>
  <sheetFormatPr baseColWidth="8" defaultColWidth="8.625" defaultRowHeight="16.5"/>
  <cols>
    <col width="26.875" bestFit="1" customWidth="1" style="326" min="1" max="1"/>
    <col width="19.875" bestFit="1" customWidth="1" style="326" min="2" max="2"/>
    <col width="21.875" bestFit="1" customWidth="1" style="326" min="3" max="3"/>
    <col width="40.125" bestFit="1" customWidth="1" style="326" min="4" max="4"/>
    <col width="45.125" bestFit="1" customWidth="1" style="326" min="5" max="5"/>
    <col width="29.125" bestFit="1" customWidth="1" style="542" min="6" max="6"/>
    <col width="30.25" bestFit="1" customWidth="1" style="326" min="7" max="7"/>
    <col width="22.875" bestFit="1" customWidth="1" style="326" min="8" max="8"/>
    <col width="21.875" bestFit="1" customWidth="1" style="326" min="9" max="9"/>
    <col width="25.125" bestFit="1" customWidth="1" style="326" min="10" max="10"/>
    <col width="41.125" bestFit="1" customWidth="1" style="326" min="11" max="11"/>
    <col width="29.125" bestFit="1" customWidth="1" style="326" min="12" max="12"/>
    <col width="21.875" bestFit="1" customWidth="1" style="326" min="13" max="14"/>
    <col width="8.625" customWidth="1" style="326" min="15" max="16384"/>
  </cols>
  <sheetData>
    <row r="1">
      <c r="A1" s="557" t="n"/>
      <c r="B1" s="557" t="inlineStr">
        <is>
          <t>元康盛景17号</t>
        </is>
      </c>
      <c r="C1" s="557" t="inlineStr">
        <is>
          <t>元康盛景9号</t>
        </is>
      </c>
      <c r="D1" s="557" t="inlineStr">
        <is>
          <t>元康盛景20号</t>
        </is>
      </c>
      <c r="E1" s="557" t="inlineStr">
        <is>
          <t>元康盛景1号</t>
        </is>
      </c>
      <c r="F1" s="557" t="inlineStr">
        <is>
          <t>元康衡景1号私募证券投资基金B</t>
        </is>
      </c>
      <c r="G1" s="557" t="inlineStr">
        <is>
          <t>元康盛景31号私募证券投资基金A</t>
        </is>
      </c>
      <c r="H1" s="557" t="inlineStr">
        <is>
          <t>元康盛景28号A</t>
        </is>
      </c>
      <c r="I1" s="557" t="inlineStr">
        <is>
          <t>元康盛景22号</t>
        </is>
      </c>
      <c r="J1" s="557" t="inlineStr">
        <is>
          <t>元康瑞景2号基础设施策略B</t>
        </is>
      </c>
      <c r="K1" s="557" t="inlineStr">
        <is>
          <t>元康盛景29号私募证券投资基金</t>
        </is>
      </c>
      <c r="L1" s="557" t="inlineStr">
        <is>
          <t>元康全景1号私募证券投资基金B</t>
        </is>
      </c>
      <c r="M1" s="557" t="inlineStr">
        <is>
          <t>元康盛景26号</t>
        </is>
      </c>
      <c r="N1" s="557" t="inlineStr">
        <is>
          <t>元康星辰量化4号</t>
        </is>
      </c>
    </row>
    <row r="2">
      <c r="A2" s="557" t="inlineStr">
        <is>
          <t>2026/05/15</t>
        </is>
      </c>
      <c r="B2" s="557" t="n"/>
      <c r="C2" s="557" t="n"/>
      <c r="D2" s="558" t="inlineStr">
        <is>
          <t>申购:雪球:16,300,000元,美市:1,035,000元</t>
        </is>
      </c>
      <c r="E2" s="557" t="n"/>
      <c r="F2" s="558" t="inlineStr">
        <is>
          <t>申购:美市:1,000,000元</t>
        </is>
      </c>
      <c r="G2" s="558" t="inlineStr">
        <is>
          <t>申购:美市:14,000,000元</t>
        </is>
      </c>
      <c r="H2" s="558" t="inlineStr">
        <is>
          <t>申购:美市:3,250,000元</t>
        </is>
      </c>
      <c r="I2" s="557" t="n"/>
      <c r="J2" s="557" t="n"/>
      <c r="K2" s="557" t="n"/>
      <c r="L2" s="557" t="n"/>
      <c r="M2" s="558" t="inlineStr">
        <is>
          <t>申购:美市:4,500,000元</t>
        </is>
      </c>
      <c r="N2" s="559" t="inlineStr">
        <is>
          <t>赎回:美市:1,400,000份</t>
        </is>
      </c>
    </row>
    <row r="3">
      <c r="A3" s="557" t="inlineStr">
        <is>
          <t>2026/05/18</t>
        </is>
      </c>
      <c r="B3" s="557" t="n"/>
      <c r="C3" s="557" t="n"/>
      <c r="D3" s="557" t="n"/>
      <c r="E3" s="557" t="n"/>
      <c r="F3" s="557" t="n"/>
      <c r="G3" s="558" t="inlineStr">
        <is>
          <t>申购:美市:1,500,000元</t>
        </is>
      </c>
      <c r="H3" s="559" t="inlineStr">
        <is>
          <t>赎回:美市:1,410,000份</t>
        </is>
      </c>
      <c r="I3" s="557" t="n"/>
      <c r="J3" s="557" t="n"/>
      <c r="K3" s="557" t="n"/>
      <c r="L3" s="557" t="n"/>
      <c r="M3" s="557" t="n"/>
      <c r="N3" s="557" t="n"/>
    </row>
    <row r="4">
      <c r="A4" s="557" t="inlineStr">
        <is>
          <t>2026/05/19</t>
        </is>
      </c>
      <c r="B4" s="557" t="n"/>
      <c r="C4" s="559" t="inlineStr">
        <is>
          <t>赎回:联储:3,831,969份</t>
        </is>
      </c>
      <c r="D4" s="557" t="n"/>
      <c r="E4" s="557" t="n"/>
      <c r="F4" s="557" t="n"/>
      <c r="G4" s="558" t="inlineStr">
        <is>
          <t>申购:美市:5,000,000元</t>
        </is>
      </c>
      <c r="H4" s="557" t="n"/>
      <c r="I4" s="557" t="n"/>
      <c r="J4" s="558" t="inlineStr">
        <is>
          <t>申购:美市:1,000,000元</t>
        </is>
      </c>
      <c r="K4" s="558" t="inlineStr">
        <is>
          <t>申购:美市:200,000元; 赎回:美市:700,000份</t>
        </is>
      </c>
      <c r="L4" s="558" t="inlineStr">
        <is>
          <t>申购:美市:100,000元</t>
        </is>
      </c>
      <c r="M4" s="557" t="n"/>
      <c r="N4" s="557" t="n"/>
    </row>
    <row r="5">
      <c r="A5" s="557" t="inlineStr">
        <is>
          <t>2026/05/20</t>
        </is>
      </c>
      <c r="B5" s="557" t="n"/>
      <c r="C5" s="557" t="n"/>
      <c r="D5" s="557" t="n"/>
      <c r="E5" s="558" t="inlineStr">
        <is>
          <t>申购:美市:8,600,000元; 赎回:美市:2,722,460份</t>
        </is>
      </c>
      <c r="F5" s="557" t="n"/>
      <c r="G5" s="557" t="n"/>
      <c r="H5" s="557" t="n"/>
      <c r="I5" s="557" t="n"/>
      <c r="J5" s="557" t="n"/>
      <c r="K5" s="557" t="n"/>
      <c r="L5" s="557" t="n"/>
      <c r="M5" s="557" t="n"/>
      <c r="N5" s="557" t="n"/>
    </row>
    <row r="6">
      <c r="A6" s="557" t="inlineStr">
        <is>
          <t>2026/05/21</t>
        </is>
      </c>
      <c r="B6" s="557" t="n"/>
      <c r="C6" s="557" t="n"/>
      <c r="D6" s="557" t="n"/>
      <c r="E6" s="557" t="n"/>
      <c r="F6" s="557" t="n"/>
      <c r="G6" s="557" t="n"/>
      <c r="H6" s="557" t="n"/>
      <c r="I6" s="559" t="inlineStr">
        <is>
          <t>赎回:美市:6,889,278份</t>
        </is>
      </c>
      <c r="J6" s="557" t="n"/>
      <c r="K6" s="557" t="n"/>
      <c r="L6" s="557" t="n"/>
      <c r="M6" s="557" t="n"/>
      <c r="N6" s="557" t="n"/>
    </row>
    <row r="7">
      <c r="A7" s="557" t="inlineStr">
        <is>
          <t>2026/05/25</t>
        </is>
      </c>
      <c r="B7" s="557" t="n"/>
      <c r="C7" s="557" t="n"/>
      <c r="D7" s="557" t="n"/>
      <c r="E7" s="557" t="n"/>
      <c r="F7" s="557" t="n"/>
      <c r="G7" s="557" t="n"/>
      <c r="H7" s="559" t="inlineStr">
        <is>
          <t>赎回:美市:1,240,000份</t>
        </is>
      </c>
      <c r="I7" s="557" t="n"/>
      <c r="J7" s="557" t="n"/>
      <c r="K7" s="557" t="n"/>
      <c r="L7" s="557" t="n"/>
      <c r="M7" s="557" t="n"/>
      <c r="N7" s="557" t="n"/>
    </row>
    <row r="8">
      <c r="A8" s="557" t="inlineStr">
        <is>
          <t>2026/05/26</t>
        </is>
      </c>
      <c r="B8" s="557" t="n"/>
      <c r="C8" s="559" t="inlineStr">
        <is>
          <t>赎回:联储:5,899,357份</t>
        </is>
      </c>
      <c r="D8" s="559" t="inlineStr">
        <is>
          <t>赎回:雪球:1,102,424份,美市:1,324,389份</t>
        </is>
      </c>
      <c r="E8" s="557" t="n"/>
      <c r="F8" s="557" t="n"/>
      <c r="G8" s="557" t="n"/>
      <c r="H8" s="557" t="n"/>
      <c r="I8" s="559" t="inlineStr">
        <is>
          <t>赎回:美市:150,000份</t>
        </is>
      </c>
      <c r="J8" s="557" t="n"/>
      <c r="K8" s="557" t="n"/>
      <c r="L8" s="557" t="n"/>
      <c r="M8" s="557" t="n"/>
      <c r="N8" s="557" t="n"/>
    </row>
    <row r="9">
      <c r="A9" s="557" t="inlineStr">
        <is>
          <t>2026/05/27</t>
        </is>
      </c>
      <c r="B9" s="557" t="n"/>
      <c r="C9" s="557" t="n"/>
      <c r="D9" s="557" t="n"/>
      <c r="E9" s="557" t="n"/>
      <c r="F9" s="557" t="n"/>
      <c r="G9" s="557" t="n"/>
      <c r="H9" s="559" t="inlineStr">
        <is>
          <t>赎回:美市:23,115,175份</t>
        </is>
      </c>
      <c r="I9" s="557" t="n"/>
      <c r="J9" s="557" t="n"/>
      <c r="K9" s="557" t="n"/>
      <c r="L9" s="557" t="n"/>
      <c r="M9" s="557" t="n"/>
      <c r="N9" s="557" t="n"/>
    </row>
    <row r="10">
      <c r="A10" s="557" t="inlineStr">
        <is>
          <t>2026/06/01</t>
        </is>
      </c>
      <c r="B10" s="557" t="n"/>
      <c r="C10" s="557" t="n"/>
      <c r="D10" s="557" t="n"/>
      <c r="E10" s="557" t="n"/>
      <c r="F10" s="557" t="n"/>
      <c r="G10" s="557" t="n"/>
      <c r="H10" s="559" t="inlineStr">
        <is>
          <t>赎回:美市:2,070,000份</t>
        </is>
      </c>
      <c r="I10" s="557" t="n"/>
      <c r="J10" s="557" t="n"/>
      <c r="K10" s="557" t="n"/>
      <c r="L10" s="557" t="n"/>
      <c r="M10" s="557" t="n"/>
      <c r="N10" s="557" t="n"/>
    </row>
    <row r="11">
      <c r="A11" s="557" t="inlineStr">
        <is>
          <t>2026/06/02</t>
        </is>
      </c>
      <c r="B11" s="557" t="n"/>
      <c r="C11" s="557" t="n"/>
      <c r="D11" s="557" t="n"/>
      <c r="E11" s="557" t="n"/>
      <c r="F11" s="557" t="n"/>
      <c r="G11" s="557" t="n"/>
      <c r="H11" s="557" t="n"/>
      <c r="I11" s="557" t="n"/>
      <c r="J11" s="557" t="n"/>
      <c r="K11" s="559" t="inlineStr">
        <is>
          <t>赎回:美市:900,000份</t>
        </is>
      </c>
      <c r="L11" s="557" t="n"/>
      <c r="M11" s="557" t="n"/>
      <c r="N11" s="557" t="n"/>
    </row>
    <row r="12">
      <c r="A12" s="557" t="inlineStr">
        <is>
          <t>2026/06/03</t>
        </is>
      </c>
      <c r="B12" s="559" t="inlineStr">
        <is>
          <t>赎回:雪球:681,199份</t>
        </is>
      </c>
      <c r="C12" s="557" t="n"/>
      <c r="D12" s="557" t="n"/>
      <c r="E12" s="559" t="inlineStr">
        <is>
          <t>赎回:美市:1,072,246份</t>
        </is>
      </c>
      <c r="F12" s="557" t="n"/>
      <c r="G12" s="557" t="n"/>
      <c r="H12" s="557" t="n"/>
      <c r="I12" s="557" t="n"/>
      <c r="J12" s="557" t="n"/>
      <c r="K12" s="557" t="n"/>
      <c r="L12" s="557" t="n"/>
      <c r="M12" s="557" t="n"/>
      <c r="N12" s="557" t="n"/>
    </row>
    <row r="13">
      <c r="A13" s="557" t="inlineStr">
        <is>
          <t>2026/06/08</t>
        </is>
      </c>
      <c r="B13" s="557" t="n"/>
      <c r="C13" s="557" t="n"/>
      <c r="D13" s="557" t="n"/>
      <c r="E13" s="557" t="n"/>
      <c r="F13" s="557" t="n"/>
      <c r="G13" s="557" t="n"/>
      <c r="H13" s="559" t="inlineStr">
        <is>
          <t>赎回:美市:5,950,000份</t>
        </is>
      </c>
      <c r="I13" s="557" t="n"/>
      <c r="J13" s="557" t="n"/>
      <c r="K13" s="557" t="n"/>
      <c r="L13" s="557" t="n"/>
      <c r="M13" s="557" t="n"/>
      <c r="N13" s="557" t="n"/>
    </row>
    <row r="14">
      <c r="A14" s="557" t="inlineStr">
        <is>
          <t>2026/06/09</t>
        </is>
      </c>
      <c r="B14" s="557" t="n"/>
      <c r="C14" s="557" t="n"/>
      <c r="D14" s="557" t="n"/>
      <c r="E14" s="557" t="n"/>
      <c r="F14" s="557" t="n"/>
      <c r="G14" s="557" t="n"/>
      <c r="H14" s="557" t="n"/>
      <c r="I14" s="559" t="inlineStr">
        <is>
          <t>赎回:美市:803,235份</t>
        </is>
      </c>
      <c r="J14" s="557" t="n"/>
      <c r="K14" s="559" t="inlineStr">
        <is>
          <t>赎回:美市:290,000份</t>
        </is>
      </c>
      <c r="L14" s="557" t="n"/>
      <c r="M14" s="557" t="n"/>
      <c r="N14" s="557" t="n"/>
    </row>
    <row r="15">
      <c r="A15" s="557" t="inlineStr">
        <is>
          <t>2026/06/10</t>
        </is>
      </c>
      <c r="B15" s="559" t="inlineStr">
        <is>
          <t>赎回:雪球:181,620份</t>
        </is>
      </c>
      <c r="C15" s="557" t="n"/>
      <c r="D15" s="557" t="n"/>
      <c r="E15" s="559" t="inlineStr">
        <is>
          <t>赎回:美市:107,225份</t>
        </is>
      </c>
      <c r="F15" s="557" t="n"/>
      <c r="G15" s="557" t="n"/>
      <c r="H15" s="557" t="n"/>
      <c r="I15" s="557" t="n"/>
      <c r="J15" s="557" t="n"/>
      <c r="K15" s="557" t="n"/>
      <c r="L15" s="557" t="n"/>
      <c r="M15" s="557" t="n"/>
      <c r="N15" s="557" t="n"/>
    </row>
    <row r="16">
      <c r="A16" s="557" t="inlineStr">
        <is>
          <t>2026/06/16</t>
        </is>
      </c>
      <c r="B16" s="557" t="n"/>
      <c r="C16" s="557" t="n"/>
      <c r="D16" s="557" t="n"/>
      <c r="E16" s="557" t="n"/>
      <c r="F16" s="557" t="n"/>
      <c r="G16" s="557" t="n"/>
      <c r="H16" s="557" t="n"/>
      <c r="I16" s="557" t="n"/>
      <c r="J16" s="557" t="n"/>
      <c r="K16" s="559" t="inlineStr">
        <is>
          <t>赎回:美市:1,000,000份</t>
        </is>
      </c>
      <c r="L16" s="557" t="n"/>
      <c r="M16" s="557" t="n"/>
      <c r="N16" s="557" t="n"/>
    </row>
    <row r="17">
      <c r="A17" s="557" t="inlineStr">
        <is>
          <t>2026/06/22</t>
        </is>
      </c>
      <c r="B17" s="557" t="n"/>
      <c r="C17" s="557" t="n"/>
      <c r="D17" s="557" t="n"/>
      <c r="E17" s="557" t="n"/>
      <c r="F17" s="557" t="n"/>
      <c r="G17" s="557" t="n"/>
      <c r="H17" s="559" t="inlineStr">
        <is>
          <t>赎回:美市:28,430,000份</t>
        </is>
      </c>
      <c r="I17" s="557" t="n"/>
      <c r="J17" s="557" t="n"/>
      <c r="K17" s="557" t="n"/>
      <c r="L17" s="557" t="n"/>
      <c r="M17" s="557" t="n"/>
      <c r="N17" s="557" t="n"/>
    </row>
    <row r="18">
      <c r="A18" s="557" t="inlineStr">
        <is>
          <t>2026/06/24</t>
        </is>
      </c>
      <c r="B18" s="557" t="n"/>
      <c r="C18" s="557" t="n"/>
      <c r="D18" s="557" t="n"/>
      <c r="E18" s="559" t="inlineStr">
        <is>
          <t>赎回:美市:59,785,584份</t>
        </is>
      </c>
      <c r="F18" s="557" t="n"/>
      <c r="G18" s="557" t="n"/>
      <c r="H18" s="557" t="n"/>
      <c r="I18" s="557" t="n"/>
      <c r="J18" s="557" t="n"/>
      <c r="K18" s="557" t="n"/>
      <c r="L18" s="558" t="inlineStr">
        <is>
          <t>申购:美市:100,000元</t>
        </is>
      </c>
      <c r="M18" s="557" t="n"/>
      <c r="N18" s="558" t="inlineStr">
        <is>
          <t>申购:美市:100,000元</t>
        </is>
      </c>
    </row>
    <row r="19">
      <c r="A19" s="557" t="inlineStr">
        <is>
          <t>2026/06/25</t>
        </is>
      </c>
      <c r="B19" s="557" t="n"/>
      <c r="C19" s="557" t="n"/>
      <c r="D19" s="559" t="inlineStr">
        <is>
          <t>赎回:美市:2,403,376份</t>
        </is>
      </c>
      <c r="E19" s="557" t="n"/>
      <c r="F19" s="557" t="n"/>
      <c r="G19" s="557" t="n"/>
      <c r="H19" s="557" t="n"/>
      <c r="I19" s="559" t="inlineStr">
        <is>
          <t>赎回:美市:1,617,338份</t>
        </is>
      </c>
      <c r="J19" s="557" t="n"/>
      <c r="K19" s="557" t="n"/>
      <c r="L19" s="557" t="n"/>
      <c r="M19" s="557" t="n"/>
      <c r="N19" s="557" t="n"/>
    </row>
    <row r="20">
      <c r="A20" s="557" t="inlineStr">
        <is>
          <t>2026/06/29</t>
        </is>
      </c>
      <c r="B20" s="557" t="n"/>
      <c r="C20" s="557" t="n"/>
      <c r="D20" s="557" t="n"/>
      <c r="E20" s="557" t="n"/>
      <c r="F20" s="557" t="n"/>
      <c r="G20" s="557" t="n"/>
      <c r="H20" s="559" t="inlineStr">
        <is>
          <t>赎回:美市:3,490,000份</t>
        </is>
      </c>
      <c r="I20" s="557" t="n"/>
      <c r="J20" s="557" t="n"/>
      <c r="K20" s="557" t="n"/>
      <c r="L20" s="557" t="n"/>
      <c r="M20" s="557" t="n"/>
      <c r="N20" s="557" t="n"/>
    </row>
    <row r="22">
      <c r="A22" s="560" t="inlineStr">
        <is>
          <t>（内容由AI生成，仅供参考）</t>
        </is>
      </c>
      <c r="B22" s="557" t="n"/>
      <c r="C22" s="557" t="n"/>
      <c r="D22" s="557" t="n"/>
      <c r="E22" s="557" t="n"/>
      <c r="F22" s="557" t="n"/>
      <c r="G22" s="557" t="n"/>
      <c r="H22" s="557" t="n"/>
      <c r="I22" s="557" t="n"/>
      <c r="J22" s="557" t="n"/>
      <c r="K22" s="557" t="n"/>
      <c r="L22" s="557" t="n"/>
      <c r="M22" s="557" t="n"/>
      <c r="N22" s="557" t="n"/>
    </row>
  </sheetData>
  <pageMargins left="0.7" right="0.7" top="0.75" bottom="0.75" header="0.3" footer="0.3"/>
</worksheet>
</file>

<file path=xl/worksheets/sheet2.xml><?xml version="1.0" encoding="utf-8"?>
<worksheet xmlns="http://schemas.openxmlformats.org/spreadsheetml/2006/main">
  <sheetPr codeName="Sheet1">
    <tabColor rgb="FFC00000"/>
    <outlinePr summaryBelow="1" summaryRight="1"/>
    <pageSetUpPr/>
  </sheetPr>
  <dimension ref="A1:U168"/>
  <sheetViews>
    <sheetView workbookViewId="0">
      <pane ySplit="1" topLeftCell="A134" activePane="bottomLeft" state="frozen"/>
      <selection pane="bottomLeft" activeCell="H154" sqref="H154"/>
    </sheetView>
  </sheetViews>
  <sheetFormatPr baseColWidth="8" defaultRowHeight="16.5"/>
  <cols>
    <col width="10" bestFit="1" customWidth="1" style="1" min="1" max="1"/>
    <col width="12.875" bestFit="1" customWidth="1" style="563" min="2" max="4"/>
    <col width="10.125" customWidth="1" style="563" min="5" max="5"/>
    <col width="12.625" customWidth="1" style="563" min="6" max="6"/>
    <col width="14.375" bestFit="1" customWidth="1" style="563" min="7" max="7"/>
    <col width="8.375" bestFit="1" customWidth="1" style="563" min="8" max="9"/>
    <col width="8.375" customWidth="1" style="563" min="10" max="10"/>
    <col width="9.375" bestFit="1" customWidth="1" style="563" min="11" max="11"/>
    <col width="8.5" bestFit="1" customWidth="1" style="563" min="12" max="13"/>
    <col width="12.875" bestFit="1" customWidth="1" style="563" min="14" max="14"/>
  </cols>
  <sheetData>
    <row r="1">
      <c r="A1" s="1" t="inlineStr">
        <is>
          <t>日期</t>
        </is>
      </c>
      <c r="B1" s="563" t="inlineStr">
        <is>
          <t>元康盛景20号</t>
        </is>
      </c>
      <c r="C1" s="563" t="inlineStr">
        <is>
          <t>元康盛景26号</t>
        </is>
      </c>
      <c r="D1" s="563" t="inlineStr">
        <is>
          <t>元康盛景28号</t>
        </is>
      </c>
      <c r="E1" s="563" t="inlineStr">
        <is>
          <t>外贸信托_元康盛景1号</t>
        </is>
      </c>
      <c r="F1" s="563" t="inlineStr">
        <is>
          <t>苏信优先级Z2501</t>
        </is>
      </c>
      <c r="G1" s="563" t="inlineStr">
        <is>
          <t>苏信次级Z2502</t>
        </is>
      </c>
      <c r="H1" s="563" t="inlineStr">
        <is>
          <t>元康1号</t>
        </is>
      </c>
      <c r="I1" s="563" t="inlineStr">
        <is>
          <t>元康9号</t>
        </is>
      </c>
      <c r="J1" s="563" t="inlineStr">
        <is>
          <t>元康12号</t>
        </is>
      </c>
      <c r="K1" s="563" t="inlineStr">
        <is>
          <t>元康17号</t>
        </is>
      </c>
      <c r="L1" s="563" t="inlineStr">
        <is>
          <t>朗瑞1_5</t>
        </is>
      </c>
      <c r="M1" s="563" t="inlineStr">
        <is>
          <t>朗瑞1_8</t>
        </is>
      </c>
      <c r="N1" s="563" t="inlineStr">
        <is>
          <t>元康盛景29号</t>
        </is>
      </c>
      <c r="O1" s="563" t="inlineStr">
        <is>
          <t>元康盛景30号</t>
        </is>
      </c>
      <c r="P1" s="563" t="inlineStr">
        <is>
          <t>鹏雅119</t>
        </is>
      </c>
      <c r="Q1" s="563" t="inlineStr">
        <is>
          <t>鹏雅120</t>
        </is>
      </c>
      <c r="R1" s="563" t="inlineStr">
        <is>
          <t>中建投_臻泉2号</t>
        </is>
      </c>
      <c r="S1" s="563" t="inlineStr">
        <is>
          <t>慧聚领航1号</t>
        </is>
      </c>
      <c r="T1" s="563" t="inlineStr">
        <is>
          <t>苏信混合Z2603</t>
        </is>
      </c>
    </row>
    <row r="2" hidden="1" s="326">
      <c r="A2" s="1" t="n">
        <v>46023</v>
      </c>
      <c r="B2" s="563">
        <f t="array" ref="B2">INDEX(_xlfn._xlws.FILTER(INDIRECT(B1&amp;"!$E1:$E10000"),INDIRECT(B1&amp;"!$a1:$a10000")=汇总!$A2),COUNTIF(INDIRECT(B1&amp;"!$a1:$a10000"),汇总!$A2))</f>
        <v/>
      </c>
      <c r="C2" s="563">
        <f t="array" ref="C2">INDEX(_xlfn._xlws.FILTER(INDIRECT(C1&amp;"!$E1:$E10000"),INDIRECT(C1&amp;"!$a1:$a10000")=汇总!$A2),COUNTIF(INDIRECT(C1&amp;"!$a1:$a10000"),汇总!$A2))</f>
        <v/>
      </c>
      <c r="D2" s="563">
        <f t="array" ref="D2">INDEX(_xlfn._xlws.FILTER(INDIRECT(D1&amp;"!$E1:$E10000"),INDIRECT(D1&amp;"!$a1:$a10000")=汇总!$A2),COUNTIF(INDIRECT(D1&amp;"!$a1:$a10000"),汇总!$A2))</f>
        <v/>
      </c>
      <c r="E2" s="563">
        <f t="array" ref="E2">INDEX(_xlfn._xlws.FILTER(INDIRECT(E1&amp;"!$E1:$E10000"),INDIRECT(E1&amp;"!$a1:$a10000")=汇总!$A2),COUNTIF(INDIRECT(E1&amp;"!$a1:$a10000"),汇总!$A2))</f>
        <v/>
      </c>
      <c r="F2" s="563">
        <f t="array" ref="F2">INDEX(_xlfn._xlws.FILTER(INDIRECT(F1&amp;"!$E1:$E10000"),INDIRECT(F1&amp;"!$a1:$a10000")=汇总!$A2),COUNTIF(INDIRECT(F1&amp;"!$a1:$a10000"),汇总!$A2))</f>
        <v/>
      </c>
      <c r="G2" s="563">
        <f t="array" ref="G2">INDEX(_xlfn._xlws.FILTER(INDIRECT(G1&amp;"!$E1:$E10000"),INDIRECT(G1&amp;"!$a1:$a10000")=汇总!$A2),COUNTIF(INDIRECT(G1&amp;"!$a1:$a10000"),汇总!$A2))</f>
        <v/>
      </c>
      <c r="H2" s="563">
        <f t="array" ref="H2">INDEX(_xlfn._xlws.FILTER(INDIRECT(H1&amp;"!$E1:$E10000"),INDIRECT(H1&amp;"!$a1:$a10000")=汇总!$A2),COUNTIF(INDIRECT(H1&amp;"!$a1:$a10000"),汇总!$A2))</f>
        <v/>
      </c>
      <c r="I2" s="563">
        <f t="array" ref="I2">INDEX(_xlfn._xlws.FILTER(INDIRECT(I1&amp;"!$E1:$E10000"),INDIRECT(I1&amp;"!$a1:$a10000")=汇总!$A2),COUNTIF(INDIRECT(I1&amp;"!$a1:$a10000"),汇总!$A2))</f>
        <v/>
      </c>
      <c r="J2" s="563">
        <f t="array" ref="J2">INDEX(_xlfn._xlws.FILTER(INDIRECT(J1&amp;"!$E1:$E10000"),INDIRECT(J1&amp;"!$a1:$a10000")=汇总!$A2),COUNTIF(INDIRECT(J1&amp;"!$a1:$a10000"),汇总!$A2))</f>
        <v/>
      </c>
      <c r="K2" s="563">
        <f t="array" ref="K2">INDEX(_xlfn._xlws.FILTER(INDIRECT(K1&amp;"!$E1:$E10000"),INDIRECT(K1&amp;"!$a1:$a10000")=汇总!$A2),COUNTIF(INDIRECT(K1&amp;"!$a1:$a10000"),汇总!$A2))</f>
        <v/>
      </c>
      <c r="L2" s="563">
        <f t="array" ref="L2">INDEX(_xlfn._xlws.FILTER(INDIRECT(L1&amp;"!$E1:$E10000"),INDIRECT(L1&amp;"!$a1:$a10000")=汇总!$A2),COUNTIF(INDIRECT(L1&amp;"!$a1:$a10000"),汇总!$A2))</f>
        <v/>
      </c>
      <c r="M2" s="563">
        <f t="array" ref="M2">INDEX(_xlfn._xlws.FILTER(INDIRECT(M1&amp;"!$E1:$E10000"),INDIRECT(M1&amp;"!$a1:$a10000")=汇总!$A2),COUNTIF(INDIRECT(M1&amp;"!$a1:$a10000"),汇总!$A2))</f>
        <v/>
      </c>
      <c r="N2" s="563">
        <f t="array" ref="N2">INDEX(_xlfn._xlws.FILTER(INDIRECT(N1&amp;"!$E1:$E10000"),INDIRECT(N1&amp;"!$a1:$a10000")=汇总!$A2),COUNTIF(INDIRECT(N1&amp;"!$a1:$a10000"),汇总!$A2))</f>
        <v/>
      </c>
      <c r="O2" s="563">
        <f t="array" ref="O2">INDEX(_xlfn._xlws.FILTER(INDIRECT(O1&amp;"!$E1:$E10000"),INDIRECT(O1&amp;"!$a1:$a10000")=汇总!$A2),COUNTIF(INDIRECT(O1&amp;"!$a1:$a10000"),汇总!$A2))</f>
        <v/>
      </c>
      <c r="P2" s="563">
        <f t="array" ref="P2">INDEX(_xlfn._xlws.FILTER(INDIRECT(P1&amp;"!$E1:$E10000"),INDIRECT(P1&amp;"!$a1:$a10000")=汇总!$A2),COUNTIF(INDIRECT(P1&amp;"!$a1:$a10000"),汇总!$A2))</f>
        <v/>
      </c>
      <c r="Q2" s="563">
        <f t="array" ref="Q2">INDEX(_xlfn._xlws.FILTER(INDIRECT(Q1&amp;"!$E1:$E10000"),INDIRECT(Q1&amp;"!$a1:$a10000")=汇总!$A2),COUNTIF(INDIRECT(Q1&amp;"!$a1:$a10000"),汇总!$A2))</f>
        <v/>
      </c>
      <c r="R2" s="563">
        <f t="array" ref="R2">INDEX(_xlfn._xlws.FILTER(INDIRECT(R1&amp;"!$E1:$E10000"),INDIRECT(R1&amp;"!$a1:$a10000")=汇总!$A2),COUNTIF(INDIRECT(R1&amp;"!$a1:$a10000"),汇总!$A2))</f>
        <v/>
      </c>
      <c r="S2" s="563">
        <f t="array" ref="S2">INDEX(_xlfn._xlws.FILTER(INDIRECT(S1&amp;"!$E1:$E10000"),INDIRECT(S1&amp;"!$a1:$a10000")=汇总!$A2),COUNTIF(INDIRECT(S1&amp;"!$a1:$a10000"),汇总!$A2))</f>
        <v/>
      </c>
    </row>
    <row r="3" hidden="1" s="326">
      <c r="A3" s="1">
        <f>+A2+1</f>
        <v/>
      </c>
      <c r="B3" s="563">
        <f t="array" ref="B3">IFERROR(INDEX(_xlfn._xlws.FILTER(INDIRECT(B$1&amp;"!$E1:$E10000"),INDIRECT(B$1&amp;"!$a1:$a10000")=汇总!$A3),COUNTIF(INDIRECT(B$1&amp;"!$a1:$a10000"),汇总!$A3)),B2)</f>
        <v/>
      </c>
      <c r="C3" s="563">
        <f t="array" ref="C3">IFERROR(INDEX(_xlfn._xlws.FILTER(INDIRECT(C$1&amp;"!$E1:$E10000"),INDIRECT(C$1&amp;"!$a1:$a10000")=汇总!$A3),COUNTIF(INDIRECT(C$1&amp;"!$a1:$a10000"),汇总!$A3)),C2)</f>
        <v/>
      </c>
      <c r="D3" s="563">
        <f t="array" ref="D3">IFERROR(INDEX(_xlfn._xlws.FILTER(INDIRECT(D$1&amp;"!$E1:$E10000"),INDIRECT(D$1&amp;"!$a1:$a10000")=汇总!$A3),COUNTIF(INDIRECT(D$1&amp;"!$a1:$a10000"),汇总!$A3)),D2)</f>
        <v/>
      </c>
      <c r="E3" s="563">
        <f t="array" ref="E3">IFERROR(INDEX(_xlfn._xlws.FILTER(INDIRECT(E$1&amp;"!$E1:$E10000"),INDIRECT(E$1&amp;"!$a1:$a10000")=汇总!$A3),COUNTIF(INDIRECT(E$1&amp;"!$a1:$a10000"),汇总!$A3)),E2)</f>
        <v/>
      </c>
      <c r="F3" s="563">
        <f t="array" ref="F3">IFERROR(INDEX(_xlfn._xlws.FILTER(INDIRECT(F$1&amp;"!$E1:$E10000"),INDIRECT(F$1&amp;"!$a1:$a10000")=汇总!$A3),COUNTIF(INDIRECT(F$1&amp;"!$a1:$a10000"),汇总!$A3)),F2)</f>
        <v/>
      </c>
      <c r="G3" s="563">
        <f t="array" ref="G3">IFERROR(INDEX(_xlfn._xlws.FILTER(INDIRECT(G$1&amp;"!$E1:$E10000"),INDIRECT(G$1&amp;"!$a1:$a10000")=汇总!$A3),COUNTIF(INDIRECT(G$1&amp;"!$a1:$a10000"),汇总!$A3)),G2)</f>
        <v/>
      </c>
      <c r="H3" s="563">
        <f t="array" ref="H3">IFERROR(INDEX(_xlfn._xlws.FILTER(INDIRECT(H$1&amp;"!$E1:$E10000"),INDIRECT(H$1&amp;"!$a1:$a10000")=汇总!$A3),COUNTIF(INDIRECT(H$1&amp;"!$a1:$a10000"),汇总!$A3)),H2)</f>
        <v/>
      </c>
      <c r="I3" s="563">
        <f t="array" ref="I3">IFERROR(INDEX(_xlfn._xlws.FILTER(INDIRECT(I$1&amp;"!$E1:$E10000"),INDIRECT(I$1&amp;"!$a1:$a10000")=汇总!$A3),COUNTIF(INDIRECT(I$1&amp;"!$a1:$a10000"),汇总!$A3)),I2)</f>
        <v/>
      </c>
      <c r="J3" s="563">
        <f t="array" ref="J3">IFERROR(INDEX(_xlfn._xlws.FILTER(INDIRECT(J$1&amp;"!$E1:$E10000"),INDIRECT(J$1&amp;"!$a1:$a10000")=汇总!$A3),COUNTIF(INDIRECT(J$1&amp;"!$a1:$a10000"),汇总!$A3)),J2)</f>
        <v/>
      </c>
      <c r="K3" s="563">
        <f t="array" ref="K3">IFERROR(INDEX(_xlfn._xlws.FILTER(INDIRECT(K$1&amp;"!$E1:$E10000"),INDIRECT(K$1&amp;"!$a1:$a10000")=汇总!$A3),COUNTIF(INDIRECT(K$1&amp;"!$a1:$a10000"),汇总!$A3)),K2)</f>
        <v/>
      </c>
      <c r="L3" s="563">
        <f t="array" ref="L3">IFERROR(INDEX(_xlfn._xlws.FILTER(INDIRECT(L$1&amp;"!$E1:$E10000"),INDIRECT(L$1&amp;"!$a1:$a10000")=汇总!$A3),COUNTIF(INDIRECT(L$1&amp;"!$a1:$a10000"),汇总!$A3)),L2)</f>
        <v/>
      </c>
      <c r="M3" s="563">
        <f t="array" ref="M3">IFERROR(INDEX(_xlfn._xlws.FILTER(INDIRECT(M$1&amp;"!$E1:$E10000"),INDIRECT(M$1&amp;"!$a1:$a10000")=汇总!$A3),COUNTIF(INDIRECT(M$1&amp;"!$a1:$a10000"),汇总!$A3)),M2)</f>
        <v/>
      </c>
      <c r="N3" s="563">
        <f t="array" ref="N3">IFERROR(INDEX(_xlfn._xlws.FILTER(INDIRECT(N$1&amp;"!$E1:$E10000"),INDIRECT(N$1&amp;"!$a1:$a10000")=汇总!$A3),COUNTIF(INDIRECT(N$1&amp;"!$a1:$a10000"),汇总!$A3)),N2)</f>
        <v/>
      </c>
      <c r="O3" s="563">
        <f t="array" ref="O3">IFERROR(INDEX(_xlfn._xlws.FILTER(INDIRECT(O$1&amp;"!$E1:$E10000"),INDIRECT(O$1&amp;"!$a1:$a10000")=汇总!$A3),COUNTIF(INDIRECT(O$1&amp;"!$a1:$a10000"),汇总!$A3)),O2)</f>
        <v/>
      </c>
      <c r="P3" s="563">
        <f t="array" ref="P3">IFERROR(INDEX(_xlfn._xlws.FILTER(INDIRECT(P$1&amp;"!$E1:$E10000"),INDIRECT(P$1&amp;"!$a1:$a10000")=汇总!$A3),COUNTIF(INDIRECT(P$1&amp;"!$a1:$a10000"),汇总!$A3)),P2)</f>
        <v/>
      </c>
      <c r="Q3" s="563">
        <f t="array" ref="Q3">IFERROR(INDEX(_xlfn._xlws.FILTER(INDIRECT(Q$1&amp;"!$E1:$E10000"),INDIRECT(Q$1&amp;"!$a1:$a10000")=汇总!$A3),COUNTIF(INDIRECT(Q$1&amp;"!$a1:$a10000"),汇总!$A3)),Q2)</f>
        <v/>
      </c>
      <c r="R3" s="563">
        <f t="array" ref="R3">IFERROR(INDEX(_xlfn._xlws.FILTER(INDIRECT(R$1&amp;"!$E1:$E10000"),INDIRECT(R$1&amp;"!$a1:$a10000")=汇总!$A3),COUNTIF(INDIRECT(R$1&amp;"!$a1:$a10000"),汇总!$A3)),R2)</f>
        <v/>
      </c>
      <c r="S3" s="563">
        <f t="array" ref="S3">IFERROR(INDEX(_xlfn._xlws.FILTER(INDIRECT(S$1&amp;"!$E1:$E10000"),INDIRECT(S$1&amp;"!$a1:$a10000")=汇总!$A3),COUNTIF(INDIRECT(S$1&amp;"!$a1:$a10000"),汇总!$A3)),S2)</f>
        <v/>
      </c>
    </row>
    <row r="4" hidden="1" s="326">
      <c r="A4" s="1">
        <f>+A3+1</f>
        <v/>
      </c>
      <c r="B4" s="563">
        <f t="array" ref="B4">IFERROR(INDEX(_xlfn._xlws.FILTER(INDIRECT(B$1&amp;"!$E1:$E10000"),INDIRECT(B$1&amp;"!$a1:$a10000")=汇总!$A4),COUNTIF(INDIRECT(B$1&amp;"!$a1:$a10000"),汇总!$A4)),B3)</f>
        <v/>
      </c>
      <c r="C4" s="563">
        <f t="array" ref="C4">IFERROR(INDEX(_xlfn._xlws.FILTER(INDIRECT(C$1&amp;"!$E1:$E10000"),INDIRECT(C$1&amp;"!$a1:$a10000")=汇总!$A4),COUNTIF(INDIRECT(C$1&amp;"!$a1:$a10000"),汇总!$A4)),C3)</f>
        <v/>
      </c>
      <c r="D4" s="563">
        <f t="array" ref="D4">IFERROR(INDEX(_xlfn._xlws.FILTER(INDIRECT(D$1&amp;"!$E1:$E10000"),INDIRECT(D$1&amp;"!$a1:$a10000")=汇总!$A4),COUNTIF(INDIRECT(D$1&amp;"!$a1:$a10000"),汇总!$A4)),D3)</f>
        <v/>
      </c>
      <c r="E4" s="563">
        <f t="array" ref="E4">IFERROR(INDEX(_xlfn._xlws.FILTER(INDIRECT(E$1&amp;"!$E1:$E10000"),INDIRECT(E$1&amp;"!$a1:$a10000")=汇总!$A4),COUNTIF(INDIRECT(E$1&amp;"!$a1:$a10000"),汇总!$A4)),E3)</f>
        <v/>
      </c>
      <c r="F4" s="563">
        <f t="array" ref="F4">IFERROR(INDEX(_xlfn._xlws.FILTER(INDIRECT(F$1&amp;"!$E1:$E10000"),INDIRECT(F$1&amp;"!$a1:$a10000")=汇总!$A4),COUNTIF(INDIRECT(F$1&amp;"!$a1:$a10000"),汇总!$A4)),F3)</f>
        <v/>
      </c>
      <c r="G4" s="563">
        <f t="array" ref="G4">IFERROR(INDEX(_xlfn._xlws.FILTER(INDIRECT(G$1&amp;"!$E1:$E10000"),INDIRECT(G$1&amp;"!$a1:$a10000")=汇总!$A4),COUNTIF(INDIRECT(G$1&amp;"!$a1:$a10000"),汇总!$A4)),G3)</f>
        <v/>
      </c>
      <c r="H4" s="563">
        <f t="array" ref="H4">IFERROR(INDEX(_xlfn._xlws.FILTER(INDIRECT(H$1&amp;"!$E1:$E10000"),INDIRECT(H$1&amp;"!$a1:$a10000")=汇总!$A4),COUNTIF(INDIRECT(H$1&amp;"!$a1:$a10000"),汇总!$A4)),H3)</f>
        <v/>
      </c>
      <c r="I4" s="563">
        <f t="array" ref="I4">IFERROR(INDEX(_xlfn._xlws.FILTER(INDIRECT(I$1&amp;"!$E1:$E10000"),INDIRECT(I$1&amp;"!$a1:$a10000")=汇总!$A4),COUNTIF(INDIRECT(I$1&amp;"!$a1:$a10000"),汇总!$A4)),I3)</f>
        <v/>
      </c>
      <c r="J4" s="563">
        <f t="array" ref="J4">IFERROR(INDEX(_xlfn._xlws.FILTER(INDIRECT(J$1&amp;"!$E1:$E10000"),INDIRECT(J$1&amp;"!$a1:$a10000")=汇总!$A4),COUNTIF(INDIRECT(J$1&amp;"!$a1:$a10000"),汇总!$A4)),J3)</f>
        <v/>
      </c>
      <c r="K4" s="563">
        <f t="array" ref="K4">IFERROR(INDEX(_xlfn._xlws.FILTER(INDIRECT(K$1&amp;"!$E1:$E10000"),INDIRECT(K$1&amp;"!$a1:$a10000")=汇总!$A4),COUNTIF(INDIRECT(K$1&amp;"!$a1:$a10000"),汇总!$A4)),K3)</f>
        <v/>
      </c>
      <c r="L4" s="563">
        <f t="array" ref="L4">IFERROR(INDEX(_xlfn._xlws.FILTER(INDIRECT(L$1&amp;"!$E1:$E10000"),INDIRECT(L$1&amp;"!$a1:$a10000")=汇总!$A4),COUNTIF(INDIRECT(L$1&amp;"!$a1:$a10000"),汇总!$A4)),L3)</f>
        <v/>
      </c>
      <c r="M4" s="563">
        <f t="array" ref="M4">IFERROR(INDEX(_xlfn._xlws.FILTER(INDIRECT(M$1&amp;"!$E1:$E10000"),INDIRECT(M$1&amp;"!$a1:$a10000")=汇总!$A4),COUNTIF(INDIRECT(M$1&amp;"!$a1:$a10000"),汇总!$A4)),M3)</f>
        <v/>
      </c>
      <c r="N4" s="563">
        <f t="array" ref="N4">IFERROR(INDEX(_xlfn._xlws.FILTER(INDIRECT(N$1&amp;"!$E1:$E10000"),INDIRECT(N$1&amp;"!$a1:$a10000")=汇总!$A4),COUNTIF(INDIRECT(N$1&amp;"!$a1:$a10000"),汇总!$A4)),N3)</f>
        <v/>
      </c>
      <c r="O4" s="563">
        <f t="array" ref="O4">IFERROR(INDEX(_xlfn._xlws.FILTER(INDIRECT(O$1&amp;"!$E1:$E10000"),INDIRECT(O$1&amp;"!$a1:$a10000")=汇总!$A4),COUNTIF(INDIRECT(O$1&amp;"!$a1:$a10000"),汇总!$A4)),O3)</f>
        <v/>
      </c>
      <c r="P4" s="563">
        <f t="array" ref="P4">IFERROR(INDEX(_xlfn._xlws.FILTER(INDIRECT(P$1&amp;"!$E1:$E10000"),INDIRECT(P$1&amp;"!$a1:$a10000")=汇总!$A4),COUNTIF(INDIRECT(P$1&amp;"!$a1:$a10000"),汇总!$A4)),P3)</f>
        <v/>
      </c>
      <c r="Q4" s="563">
        <f t="array" ref="Q4">IFERROR(INDEX(_xlfn._xlws.FILTER(INDIRECT(Q$1&amp;"!$E1:$E10000"),INDIRECT(Q$1&amp;"!$a1:$a10000")=汇总!$A4),COUNTIF(INDIRECT(Q$1&amp;"!$a1:$a10000"),汇总!$A4)),Q3)</f>
        <v/>
      </c>
      <c r="R4" s="563">
        <f t="array" ref="R4">IFERROR(INDEX(_xlfn._xlws.FILTER(INDIRECT(R$1&amp;"!$E1:$E10000"),INDIRECT(R$1&amp;"!$a1:$a10000")=汇总!$A4),COUNTIF(INDIRECT(R$1&amp;"!$a1:$a10000"),汇总!$A4)),R3)</f>
        <v/>
      </c>
      <c r="S4" s="563">
        <f t="array" ref="S4">IFERROR(INDEX(_xlfn._xlws.FILTER(INDIRECT(S$1&amp;"!$E1:$E10000"),INDIRECT(S$1&amp;"!$a1:$a10000")=汇总!$A4),COUNTIF(INDIRECT(S$1&amp;"!$a1:$a10000"),汇总!$A4)),S3)</f>
        <v/>
      </c>
    </row>
    <row r="5" hidden="1" s="326">
      <c r="A5" s="1">
        <f>+A4+1</f>
        <v/>
      </c>
      <c r="B5" s="563">
        <f t="array" ref="B5">IFERROR(INDEX(_xlfn._xlws.FILTER(INDIRECT(B$1&amp;"!$E1:$E10000"),INDIRECT(B$1&amp;"!$a1:$a10000")=汇总!$A5),COUNTIF(INDIRECT(B$1&amp;"!$a1:$a10000"),汇总!$A5)),B4)</f>
        <v/>
      </c>
      <c r="C5" s="563">
        <f t="array" ref="C5">IFERROR(INDEX(_xlfn._xlws.FILTER(INDIRECT(C$1&amp;"!$E1:$E10000"),INDIRECT(C$1&amp;"!$a1:$a10000")=汇总!$A5),COUNTIF(INDIRECT(C$1&amp;"!$a1:$a10000"),汇总!$A5)),C4)</f>
        <v/>
      </c>
      <c r="D5" s="563">
        <f t="array" ref="D5">IFERROR(INDEX(_xlfn._xlws.FILTER(INDIRECT(D$1&amp;"!$E1:$E10000"),INDIRECT(D$1&amp;"!$a1:$a10000")=汇总!$A5),COUNTIF(INDIRECT(D$1&amp;"!$a1:$a10000"),汇总!$A5)),D4)</f>
        <v/>
      </c>
      <c r="E5" s="563">
        <f t="array" ref="E5">IFERROR(INDEX(_xlfn._xlws.FILTER(INDIRECT(E$1&amp;"!$E1:$E10000"),INDIRECT(E$1&amp;"!$a1:$a10000")=汇总!$A5),COUNTIF(INDIRECT(E$1&amp;"!$a1:$a10000"),汇总!$A5)),E4)</f>
        <v/>
      </c>
      <c r="F5" s="563">
        <f t="array" ref="F5">IFERROR(INDEX(_xlfn._xlws.FILTER(INDIRECT(F$1&amp;"!$E1:$E10000"),INDIRECT(F$1&amp;"!$a1:$a10000")=汇总!$A5),COUNTIF(INDIRECT(F$1&amp;"!$a1:$a10000"),汇总!$A5)),F4)</f>
        <v/>
      </c>
      <c r="G5" s="563">
        <f t="array" ref="G5">IFERROR(INDEX(_xlfn._xlws.FILTER(INDIRECT(G$1&amp;"!$E1:$E10000"),INDIRECT(G$1&amp;"!$a1:$a10000")=汇总!$A5),COUNTIF(INDIRECT(G$1&amp;"!$a1:$a10000"),汇总!$A5)),G4)</f>
        <v/>
      </c>
      <c r="H5" s="563">
        <f t="array" ref="H5">IFERROR(INDEX(_xlfn._xlws.FILTER(INDIRECT(H$1&amp;"!$E1:$E10000"),INDIRECT(H$1&amp;"!$a1:$a10000")=汇总!$A5),COUNTIF(INDIRECT(H$1&amp;"!$a1:$a10000"),汇总!$A5)),H4)</f>
        <v/>
      </c>
      <c r="I5" s="563">
        <f t="array" ref="I5">IFERROR(INDEX(_xlfn._xlws.FILTER(INDIRECT(I$1&amp;"!$E1:$E10000"),INDIRECT(I$1&amp;"!$a1:$a10000")=汇总!$A5),COUNTIF(INDIRECT(I$1&amp;"!$a1:$a10000"),汇总!$A5)),I4)</f>
        <v/>
      </c>
      <c r="J5" s="563">
        <f t="array" ref="J5">IFERROR(INDEX(_xlfn._xlws.FILTER(INDIRECT(J$1&amp;"!$E1:$E10000"),INDIRECT(J$1&amp;"!$a1:$a10000")=汇总!$A5),COUNTIF(INDIRECT(J$1&amp;"!$a1:$a10000"),汇总!$A5)),J4)</f>
        <v/>
      </c>
      <c r="K5" s="563">
        <f t="array" ref="K5">IFERROR(INDEX(_xlfn._xlws.FILTER(INDIRECT(K$1&amp;"!$E1:$E10000"),INDIRECT(K$1&amp;"!$a1:$a10000")=汇总!$A5),COUNTIF(INDIRECT(K$1&amp;"!$a1:$a10000"),汇总!$A5)),K4)</f>
        <v/>
      </c>
      <c r="L5" s="563">
        <f t="array" ref="L5">IFERROR(INDEX(_xlfn._xlws.FILTER(INDIRECT(L$1&amp;"!$E1:$E10000"),INDIRECT(L$1&amp;"!$a1:$a10000")=汇总!$A5),COUNTIF(INDIRECT(L$1&amp;"!$a1:$a10000"),汇总!$A5)),L4)</f>
        <v/>
      </c>
      <c r="M5" s="563">
        <f t="array" ref="M5">IFERROR(INDEX(_xlfn._xlws.FILTER(INDIRECT(M$1&amp;"!$E1:$E10000"),INDIRECT(M$1&amp;"!$a1:$a10000")=汇总!$A5),COUNTIF(INDIRECT(M$1&amp;"!$a1:$a10000"),汇总!$A5)),M4)</f>
        <v/>
      </c>
      <c r="N5" s="563">
        <f t="array" ref="N5">IFERROR(INDEX(_xlfn._xlws.FILTER(INDIRECT(N$1&amp;"!$E1:$E10000"),INDIRECT(N$1&amp;"!$a1:$a10000")=汇总!$A5),COUNTIF(INDIRECT(N$1&amp;"!$a1:$a10000"),汇总!$A5)),N4)</f>
        <v/>
      </c>
      <c r="O5" s="563">
        <f t="array" ref="O5">IFERROR(INDEX(_xlfn._xlws.FILTER(INDIRECT(O$1&amp;"!$E1:$E10000"),INDIRECT(O$1&amp;"!$a1:$a10000")=汇总!$A5),COUNTIF(INDIRECT(O$1&amp;"!$a1:$a10000"),汇总!$A5)),O4)</f>
        <v/>
      </c>
      <c r="P5" s="563">
        <f t="array" ref="P5">IFERROR(INDEX(_xlfn._xlws.FILTER(INDIRECT(P$1&amp;"!$E1:$E10000"),INDIRECT(P$1&amp;"!$a1:$a10000")=汇总!$A5),COUNTIF(INDIRECT(P$1&amp;"!$a1:$a10000"),汇总!$A5)),P4)</f>
        <v/>
      </c>
      <c r="Q5" s="563">
        <f t="array" ref="Q5">IFERROR(INDEX(_xlfn._xlws.FILTER(INDIRECT(Q$1&amp;"!$E1:$E10000"),INDIRECT(Q$1&amp;"!$a1:$a10000")=汇总!$A5),COUNTIF(INDIRECT(Q$1&amp;"!$a1:$a10000"),汇总!$A5)),Q4)</f>
        <v/>
      </c>
      <c r="R5" s="563">
        <f t="array" ref="R5">IFERROR(INDEX(_xlfn._xlws.FILTER(INDIRECT(R$1&amp;"!$E1:$E10000"),INDIRECT(R$1&amp;"!$a1:$a10000")=汇总!$A5),COUNTIF(INDIRECT(R$1&amp;"!$a1:$a10000"),汇总!$A5)),R4)</f>
        <v/>
      </c>
      <c r="S5" s="563">
        <f t="array" ref="S5">IFERROR(INDEX(_xlfn._xlws.FILTER(INDIRECT(S$1&amp;"!$E1:$E10000"),INDIRECT(S$1&amp;"!$a1:$a10000")=汇总!$A5),COUNTIF(INDIRECT(S$1&amp;"!$a1:$a10000"),汇总!$A5)),S4)</f>
        <v/>
      </c>
    </row>
    <row r="6" hidden="1" s="326">
      <c r="A6" s="1">
        <f>+A5+1</f>
        <v/>
      </c>
      <c r="B6" s="563">
        <f t="array" ref="B6">IFERROR(INDEX(_xlfn._xlws.FILTER(INDIRECT(B$1&amp;"!$E1:$E10000"),INDIRECT(B$1&amp;"!$a1:$a10000")=汇总!$A6),COUNTIF(INDIRECT(B$1&amp;"!$a1:$a10000"),汇总!$A6)),B5)</f>
        <v/>
      </c>
      <c r="C6" s="563">
        <f t="array" ref="C6">IFERROR(INDEX(_xlfn._xlws.FILTER(INDIRECT(C$1&amp;"!$E1:$E10000"),INDIRECT(C$1&amp;"!$a1:$a10000")=汇总!$A6),COUNTIF(INDIRECT(C$1&amp;"!$a1:$a10000"),汇总!$A6)),C5)</f>
        <v/>
      </c>
      <c r="D6" s="563">
        <f t="array" ref="D6">IFERROR(INDEX(_xlfn._xlws.FILTER(INDIRECT(D$1&amp;"!$E1:$E10000"),INDIRECT(D$1&amp;"!$a1:$a10000")=汇总!$A6),COUNTIF(INDIRECT(D$1&amp;"!$a1:$a10000"),汇总!$A6)),D5)</f>
        <v/>
      </c>
      <c r="E6" s="563">
        <f t="array" ref="E6">IFERROR(INDEX(_xlfn._xlws.FILTER(INDIRECT(E$1&amp;"!$E1:$E10000"),INDIRECT(E$1&amp;"!$a1:$a10000")=汇总!$A6),COUNTIF(INDIRECT(E$1&amp;"!$a1:$a10000"),汇总!$A6)),E5)</f>
        <v/>
      </c>
      <c r="F6" s="563">
        <f t="array" ref="F6">IFERROR(INDEX(_xlfn._xlws.FILTER(INDIRECT(F$1&amp;"!$E1:$E10000"),INDIRECT(F$1&amp;"!$a1:$a10000")=汇总!$A6),COUNTIF(INDIRECT(F$1&amp;"!$a1:$a10000"),汇总!$A6)),F5)</f>
        <v/>
      </c>
      <c r="G6" s="563">
        <f t="array" ref="G6">IFERROR(INDEX(_xlfn._xlws.FILTER(INDIRECT(G$1&amp;"!$E1:$E10000"),INDIRECT(G$1&amp;"!$a1:$a10000")=汇总!$A6),COUNTIF(INDIRECT(G$1&amp;"!$a1:$a10000"),汇总!$A6)),G5)</f>
        <v/>
      </c>
      <c r="H6" s="563">
        <f t="array" ref="H6">IFERROR(INDEX(_xlfn._xlws.FILTER(INDIRECT(H$1&amp;"!$E1:$E10000"),INDIRECT(H$1&amp;"!$a1:$a10000")=汇总!$A6),COUNTIF(INDIRECT(H$1&amp;"!$a1:$a10000"),汇总!$A6)),H5)</f>
        <v/>
      </c>
      <c r="I6" s="563">
        <f t="array" ref="I6">IFERROR(INDEX(_xlfn._xlws.FILTER(INDIRECT(I$1&amp;"!$E1:$E10000"),INDIRECT(I$1&amp;"!$a1:$a10000")=汇总!$A6),COUNTIF(INDIRECT(I$1&amp;"!$a1:$a10000"),汇总!$A6)),I5)</f>
        <v/>
      </c>
      <c r="J6" s="563">
        <f t="array" ref="J6">IFERROR(INDEX(_xlfn._xlws.FILTER(INDIRECT(J$1&amp;"!$E1:$E10000"),INDIRECT(J$1&amp;"!$a1:$a10000")=汇总!$A6),COUNTIF(INDIRECT(J$1&amp;"!$a1:$a10000"),汇总!$A6)),J5)</f>
        <v/>
      </c>
      <c r="K6" s="563">
        <f t="array" ref="K6">IFERROR(INDEX(_xlfn._xlws.FILTER(INDIRECT(K$1&amp;"!$E1:$E10000"),INDIRECT(K$1&amp;"!$a1:$a10000")=汇总!$A6),COUNTIF(INDIRECT(K$1&amp;"!$a1:$a10000"),汇总!$A6)),K5)</f>
        <v/>
      </c>
      <c r="L6" s="563">
        <f t="array" ref="L6">IFERROR(INDEX(_xlfn._xlws.FILTER(INDIRECT(L$1&amp;"!$E1:$E10000"),INDIRECT(L$1&amp;"!$a1:$a10000")=汇总!$A6),COUNTIF(INDIRECT(L$1&amp;"!$a1:$a10000"),汇总!$A6)),L5)</f>
        <v/>
      </c>
      <c r="M6" s="563">
        <f t="array" ref="M6">IFERROR(INDEX(_xlfn._xlws.FILTER(INDIRECT(M$1&amp;"!$E1:$E10000"),INDIRECT(M$1&amp;"!$a1:$a10000")=汇总!$A6),COUNTIF(INDIRECT(M$1&amp;"!$a1:$a10000"),汇总!$A6)),M5)</f>
        <v/>
      </c>
      <c r="N6" s="563">
        <f t="array" ref="N6">IFERROR(INDEX(_xlfn._xlws.FILTER(INDIRECT(N$1&amp;"!$E1:$E10000"),INDIRECT(N$1&amp;"!$a1:$a10000")=汇总!$A6),COUNTIF(INDIRECT(N$1&amp;"!$a1:$a10000"),汇总!$A6)),N5)</f>
        <v/>
      </c>
      <c r="O6" s="563">
        <f t="array" ref="O6">IFERROR(INDEX(_xlfn._xlws.FILTER(INDIRECT(O$1&amp;"!$E1:$E10000"),INDIRECT(O$1&amp;"!$a1:$a10000")=汇总!$A6),COUNTIF(INDIRECT(O$1&amp;"!$a1:$a10000"),汇总!$A6)),O5)</f>
        <v/>
      </c>
      <c r="P6" s="563">
        <f t="array" ref="P6">IFERROR(INDEX(_xlfn._xlws.FILTER(INDIRECT(P$1&amp;"!$E1:$E10000"),INDIRECT(P$1&amp;"!$a1:$a10000")=汇总!$A6),COUNTIF(INDIRECT(P$1&amp;"!$a1:$a10000"),汇总!$A6)),P5)</f>
        <v/>
      </c>
      <c r="Q6" s="563">
        <f t="array" ref="Q6">IFERROR(INDEX(_xlfn._xlws.FILTER(INDIRECT(Q$1&amp;"!$E1:$E10000"),INDIRECT(Q$1&amp;"!$a1:$a10000")=汇总!$A6),COUNTIF(INDIRECT(Q$1&amp;"!$a1:$a10000"),汇总!$A6)),Q5)</f>
        <v/>
      </c>
      <c r="R6" s="563">
        <f t="array" ref="R6">IFERROR(INDEX(_xlfn._xlws.FILTER(INDIRECT(R$1&amp;"!$E1:$E10000"),INDIRECT(R$1&amp;"!$a1:$a10000")=汇总!$A6),COUNTIF(INDIRECT(R$1&amp;"!$a1:$a10000"),汇总!$A6)),R5)</f>
        <v/>
      </c>
      <c r="S6" s="563">
        <f t="array" ref="S6">IFERROR(INDEX(_xlfn._xlws.FILTER(INDIRECT(S$1&amp;"!$E1:$E10000"),INDIRECT(S$1&amp;"!$a1:$a10000")=汇总!$A6),COUNTIF(INDIRECT(S$1&amp;"!$a1:$a10000"),汇总!$A6)),S5)</f>
        <v/>
      </c>
    </row>
    <row r="7" hidden="1" s="326">
      <c r="A7" s="1">
        <f>+A6+1</f>
        <v/>
      </c>
      <c r="B7" s="563">
        <f t="array" ref="B7">IFERROR(INDEX(_xlfn._xlws.FILTER(INDIRECT(B$1&amp;"!$E1:$E10000"),INDIRECT(B$1&amp;"!$a1:$a10000")=汇总!$A7),COUNTIF(INDIRECT(B$1&amp;"!$a1:$a10000"),汇总!$A7)),B6)</f>
        <v/>
      </c>
      <c r="C7" s="563">
        <f t="array" ref="C7">IFERROR(INDEX(_xlfn._xlws.FILTER(INDIRECT(C$1&amp;"!$E1:$E10000"),INDIRECT(C$1&amp;"!$a1:$a10000")=汇总!$A7),COUNTIF(INDIRECT(C$1&amp;"!$a1:$a10000"),汇总!$A7)),C6)</f>
        <v/>
      </c>
      <c r="D7" s="563">
        <f t="array" ref="D7">IFERROR(INDEX(_xlfn._xlws.FILTER(INDIRECT(D$1&amp;"!$E1:$E10000"),INDIRECT(D$1&amp;"!$a1:$a10000")=汇总!$A7),COUNTIF(INDIRECT(D$1&amp;"!$a1:$a10000"),汇总!$A7)),D6)</f>
        <v/>
      </c>
      <c r="E7" s="563">
        <f t="array" ref="E7">IFERROR(INDEX(_xlfn._xlws.FILTER(INDIRECT(E$1&amp;"!$E1:$E10000"),INDIRECT(E$1&amp;"!$a1:$a10000")=汇总!$A7),COUNTIF(INDIRECT(E$1&amp;"!$a1:$a10000"),汇总!$A7)),E6)</f>
        <v/>
      </c>
      <c r="F7" s="563">
        <f t="array" ref="F7">IFERROR(INDEX(_xlfn._xlws.FILTER(INDIRECT(F$1&amp;"!$E1:$E10000"),INDIRECT(F$1&amp;"!$a1:$a10000")=汇总!$A7),COUNTIF(INDIRECT(F$1&amp;"!$a1:$a10000"),汇总!$A7)),F6)</f>
        <v/>
      </c>
      <c r="G7" s="563">
        <f t="array" ref="G7">IFERROR(INDEX(_xlfn._xlws.FILTER(INDIRECT(G$1&amp;"!$E1:$E10000"),INDIRECT(G$1&amp;"!$a1:$a10000")=汇总!$A7),COUNTIF(INDIRECT(G$1&amp;"!$a1:$a10000"),汇总!$A7)),G6)</f>
        <v/>
      </c>
      <c r="H7" s="563">
        <f t="array" ref="H7">IFERROR(INDEX(_xlfn._xlws.FILTER(INDIRECT(H$1&amp;"!$E1:$E10000"),INDIRECT(H$1&amp;"!$a1:$a10000")=汇总!$A7),COUNTIF(INDIRECT(H$1&amp;"!$a1:$a10000"),汇总!$A7)),H6)</f>
        <v/>
      </c>
      <c r="I7" s="563">
        <f t="array" ref="I7">IFERROR(INDEX(_xlfn._xlws.FILTER(INDIRECT(I$1&amp;"!$E1:$E10000"),INDIRECT(I$1&amp;"!$a1:$a10000")=汇总!$A7),COUNTIF(INDIRECT(I$1&amp;"!$a1:$a10000"),汇总!$A7)),I6)</f>
        <v/>
      </c>
      <c r="J7" s="563">
        <f t="array" ref="J7">IFERROR(INDEX(_xlfn._xlws.FILTER(INDIRECT(J$1&amp;"!$E1:$E10000"),INDIRECT(J$1&amp;"!$a1:$a10000")=汇总!$A7),COUNTIF(INDIRECT(J$1&amp;"!$a1:$a10000"),汇总!$A7)),J6)</f>
        <v/>
      </c>
      <c r="K7" s="563">
        <f t="array" ref="K7">IFERROR(INDEX(_xlfn._xlws.FILTER(INDIRECT(K$1&amp;"!$E1:$E10000"),INDIRECT(K$1&amp;"!$a1:$a10000")=汇总!$A7),COUNTIF(INDIRECT(K$1&amp;"!$a1:$a10000"),汇总!$A7)),K6)</f>
        <v/>
      </c>
      <c r="L7" s="563">
        <f t="array" ref="L7">IFERROR(INDEX(_xlfn._xlws.FILTER(INDIRECT(L$1&amp;"!$E1:$E10000"),INDIRECT(L$1&amp;"!$a1:$a10000")=汇总!$A7),COUNTIF(INDIRECT(L$1&amp;"!$a1:$a10000"),汇总!$A7)),L6)</f>
        <v/>
      </c>
      <c r="M7" s="563">
        <f t="array" ref="M7">IFERROR(INDEX(_xlfn._xlws.FILTER(INDIRECT(M$1&amp;"!$E1:$E10000"),INDIRECT(M$1&amp;"!$a1:$a10000")=汇总!$A7),COUNTIF(INDIRECT(M$1&amp;"!$a1:$a10000"),汇总!$A7)),M6)</f>
        <v/>
      </c>
      <c r="N7" s="563">
        <f t="array" ref="N7">IFERROR(INDEX(_xlfn._xlws.FILTER(INDIRECT(N$1&amp;"!$E1:$E10000"),INDIRECT(N$1&amp;"!$a1:$a10000")=汇总!$A7),COUNTIF(INDIRECT(N$1&amp;"!$a1:$a10000"),汇总!$A7)),N6)</f>
        <v/>
      </c>
      <c r="O7" s="563">
        <f t="array" ref="O7">IFERROR(INDEX(_xlfn._xlws.FILTER(INDIRECT(O$1&amp;"!$E1:$E10000"),INDIRECT(O$1&amp;"!$a1:$a10000")=汇总!$A7),COUNTIF(INDIRECT(O$1&amp;"!$a1:$a10000"),汇总!$A7)),O6)</f>
        <v/>
      </c>
      <c r="P7" s="563">
        <f t="array" ref="P7">IFERROR(INDEX(_xlfn._xlws.FILTER(INDIRECT(P$1&amp;"!$E1:$E10000"),INDIRECT(P$1&amp;"!$a1:$a10000")=汇总!$A7),COUNTIF(INDIRECT(P$1&amp;"!$a1:$a10000"),汇总!$A7)),P6)</f>
        <v/>
      </c>
      <c r="Q7" s="563">
        <f t="array" ref="Q7">IFERROR(INDEX(_xlfn._xlws.FILTER(INDIRECT(Q$1&amp;"!$E1:$E10000"),INDIRECT(Q$1&amp;"!$a1:$a10000")=汇总!$A7),COUNTIF(INDIRECT(Q$1&amp;"!$a1:$a10000"),汇总!$A7)),Q6)</f>
        <v/>
      </c>
      <c r="R7" s="563">
        <f t="array" ref="R7">IFERROR(INDEX(_xlfn._xlws.FILTER(INDIRECT(R$1&amp;"!$E1:$E10000"),INDIRECT(R$1&amp;"!$a1:$a10000")=汇总!$A7),COUNTIF(INDIRECT(R$1&amp;"!$a1:$a10000"),汇总!$A7)),R6)</f>
        <v/>
      </c>
      <c r="S7" s="563">
        <f t="array" ref="S7">IFERROR(INDEX(_xlfn._xlws.FILTER(INDIRECT(S$1&amp;"!$E1:$E10000"),INDIRECT(S$1&amp;"!$a1:$a10000")=汇总!$A7),COUNTIF(INDIRECT(S$1&amp;"!$a1:$a10000"),汇总!$A7)),S6)</f>
        <v/>
      </c>
    </row>
    <row r="8" hidden="1" s="326">
      <c r="A8" s="1">
        <f>+A7+1</f>
        <v/>
      </c>
      <c r="B8" s="563">
        <f t="array" ref="B8">IFERROR(INDEX(_xlfn._xlws.FILTER(INDIRECT(B$1&amp;"!$E1:$E10000"),INDIRECT(B$1&amp;"!$a1:$a10000")=汇总!$A8),COUNTIF(INDIRECT(B$1&amp;"!$a1:$a10000"),汇总!$A8)),B7)</f>
        <v/>
      </c>
      <c r="C8" s="563">
        <f t="array" ref="C8">IFERROR(INDEX(_xlfn._xlws.FILTER(INDIRECT(C$1&amp;"!$E1:$E10000"),INDIRECT(C$1&amp;"!$a1:$a10000")=汇总!$A8),COUNTIF(INDIRECT(C$1&amp;"!$a1:$a10000"),汇总!$A8)),C7)</f>
        <v/>
      </c>
      <c r="D8" s="563">
        <f t="array" ref="D8">IFERROR(INDEX(_xlfn._xlws.FILTER(INDIRECT(D$1&amp;"!$E1:$E10000"),INDIRECT(D$1&amp;"!$a1:$a10000")=汇总!$A8),COUNTIF(INDIRECT(D$1&amp;"!$a1:$a10000"),汇总!$A8)),D7)</f>
        <v/>
      </c>
      <c r="E8" s="563">
        <f t="array" ref="E8">IFERROR(INDEX(_xlfn._xlws.FILTER(INDIRECT(E$1&amp;"!$E1:$E10000"),INDIRECT(E$1&amp;"!$a1:$a10000")=汇总!$A8),COUNTIF(INDIRECT(E$1&amp;"!$a1:$a10000"),汇总!$A8)),E7)</f>
        <v/>
      </c>
      <c r="F8" s="563">
        <f t="array" ref="F8">IFERROR(INDEX(_xlfn._xlws.FILTER(INDIRECT(F$1&amp;"!$E1:$E10000"),INDIRECT(F$1&amp;"!$a1:$a10000")=汇总!$A8),COUNTIF(INDIRECT(F$1&amp;"!$a1:$a10000"),汇总!$A8)),F7)</f>
        <v/>
      </c>
      <c r="G8" s="563">
        <f t="array" ref="G8">IFERROR(INDEX(_xlfn._xlws.FILTER(INDIRECT(G$1&amp;"!$E1:$E10000"),INDIRECT(G$1&amp;"!$a1:$a10000")=汇总!$A8),COUNTIF(INDIRECT(G$1&amp;"!$a1:$a10000"),汇总!$A8)),G7)</f>
        <v/>
      </c>
      <c r="H8" s="563">
        <f t="array" ref="H8">IFERROR(INDEX(_xlfn._xlws.FILTER(INDIRECT(H$1&amp;"!$E1:$E10000"),INDIRECT(H$1&amp;"!$a1:$a10000")=汇总!$A8),COUNTIF(INDIRECT(H$1&amp;"!$a1:$a10000"),汇总!$A8)),H7)</f>
        <v/>
      </c>
      <c r="I8" s="563">
        <f t="array" ref="I8">IFERROR(INDEX(_xlfn._xlws.FILTER(INDIRECT(I$1&amp;"!$E1:$E10000"),INDIRECT(I$1&amp;"!$a1:$a10000")=汇总!$A8),COUNTIF(INDIRECT(I$1&amp;"!$a1:$a10000"),汇总!$A8)),I7)</f>
        <v/>
      </c>
      <c r="J8" s="563">
        <f t="array" ref="J8">IFERROR(INDEX(_xlfn._xlws.FILTER(INDIRECT(J$1&amp;"!$E1:$E10000"),INDIRECT(J$1&amp;"!$a1:$a10000")=汇总!$A8),COUNTIF(INDIRECT(J$1&amp;"!$a1:$a10000"),汇总!$A8)),J7)</f>
        <v/>
      </c>
      <c r="K8" s="563">
        <f t="array" ref="K8">IFERROR(INDEX(_xlfn._xlws.FILTER(INDIRECT(K$1&amp;"!$E1:$E10000"),INDIRECT(K$1&amp;"!$a1:$a10000")=汇总!$A8),COUNTIF(INDIRECT(K$1&amp;"!$a1:$a10000"),汇总!$A8)),K7)</f>
        <v/>
      </c>
      <c r="L8" s="563">
        <f t="array" ref="L8">IFERROR(INDEX(_xlfn._xlws.FILTER(INDIRECT(L$1&amp;"!$E1:$E10000"),INDIRECT(L$1&amp;"!$a1:$a10000")=汇总!$A8),COUNTIF(INDIRECT(L$1&amp;"!$a1:$a10000"),汇总!$A8)),L7)</f>
        <v/>
      </c>
      <c r="M8" s="563">
        <f t="array" ref="M8">IFERROR(INDEX(_xlfn._xlws.FILTER(INDIRECT(M$1&amp;"!$E1:$E10000"),INDIRECT(M$1&amp;"!$a1:$a10000")=汇总!$A8),COUNTIF(INDIRECT(M$1&amp;"!$a1:$a10000"),汇总!$A8)),M7)</f>
        <v/>
      </c>
      <c r="N8" s="563">
        <f t="array" ref="N8">IFERROR(INDEX(_xlfn._xlws.FILTER(INDIRECT(N$1&amp;"!$E1:$E10000"),INDIRECT(N$1&amp;"!$a1:$a10000")=汇总!$A8),COUNTIF(INDIRECT(N$1&amp;"!$a1:$a10000"),汇总!$A8)),N7)</f>
        <v/>
      </c>
      <c r="O8" s="563">
        <f t="array" ref="O8">IFERROR(INDEX(_xlfn._xlws.FILTER(INDIRECT(O$1&amp;"!$E1:$E10000"),INDIRECT(O$1&amp;"!$a1:$a10000")=汇总!$A8),COUNTIF(INDIRECT(O$1&amp;"!$a1:$a10000"),汇总!$A8)),O7)</f>
        <v/>
      </c>
      <c r="P8" s="563">
        <f t="array" ref="P8">IFERROR(INDEX(_xlfn._xlws.FILTER(INDIRECT(P$1&amp;"!$E1:$E10000"),INDIRECT(P$1&amp;"!$a1:$a10000")=汇总!$A8),COUNTIF(INDIRECT(P$1&amp;"!$a1:$a10000"),汇总!$A8)),P7)</f>
        <v/>
      </c>
      <c r="Q8" s="563">
        <f t="array" ref="Q8">IFERROR(INDEX(_xlfn._xlws.FILTER(INDIRECT(Q$1&amp;"!$E1:$E10000"),INDIRECT(Q$1&amp;"!$a1:$a10000")=汇总!$A8),COUNTIF(INDIRECT(Q$1&amp;"!$a1:$a10000"),汇总!$A8)),Q7)</f>
        <v/>
      </c>
      <c r="R8" s="563">
        <f t="array" ref="R8">IFERROR(INDEX(_xlfn._xlws.FILTER(INDIRECT(R$1&amp;"!$E1:$E10000"),INDIRECT(R$1&amp;"!$a1:$a10000")=汇总!$A8),COUNTIF(INDIRECT(R$1&amp;"!$a1:$a10000"),汇总!$A8)),R7)</f>
        <v/>
      </c>
      <c r="S8" s="563">
        <f t="array" ref="S8">IFERROR(INDEX(_xlfn._xlws.FILTER(INDIRECT(S$1&amp;"!$E1:$E10000"),INDIRECT(S$1&amp;"!$a1:$a10000")=汇总!$A8),COUNTIF(INDIRECT(S$1&amp;"!$a1:$a10000"),汇总!$A8)),S7)</f>
        <v/>
      </c>
    </row>
    <row r="9" hidden="1" s="326">
      <c r="A9" s="1">
        <f>+A8+1</f>
        <v/>
      </c>
      <c r="B9" s="563">
        <f t="array" ref="B9">IFERROR(INDEX(_xlfn._xlws.FILTER(INDIRECT(B$1&amp;"!$E1:$E10000"),INDIRECT(B$1&amp;"!$a1:$a10000")=汇总!$A9),COUNTIF(INDIRECT(B$1&amp;"!$a1:$a10000"),汇总!$A9)),B8)</f>
        <v/>
      </c>
      <c r="C9" s="563">
        <f t="array" ref="C9">IFERROR(INDEX(_xlfn._xlws.FILTER(INDIRECT(C$1&amp;"!$E1:$E10000"),INDIRECT(C$1&amp;"!$a1:$a10000")=汇总!$A9),COUNTIF(INDIRECT(C$1&amp;"!$a1:$a10000"),汇总!$A9)),C8)</f>
        <v/>
      </c>
      <c r="D9" s="563">
        <f t="array" ref="D9">IFERROR(INDEX(_xlfn._xlws.FILTER(INDIRECT(D$1&amp;"!$E1:$E10000"),INDIRECT(D$1&amp;"!$a1:$a10000")=汇总!$A9),COUNTIF(INDIRECT(D$1&amp;"!$a1:$a10000"),汇总!$A9)),D8)</f>
        <v/>
      </c>
      <c r="E9" s="563">
        <f t="array" ref="E9">IFERROR(INDEX(_xlfn._xlws.FILTER(INDIRECT(E$1&amp;"!$E1:$E10000"),INDIRECT(E$1&amp;"!$a1:$a10000")=汇总!$A9),COUNTIF(INDIRECT(E$1&amp;"!$a1:$a10000"),汇总!$A9)),E8)</f>
        <v/>
      </c>
      <c r="F9" s="563">
        <f t="array" ref="F9">IFERROR(INDEX(_xlfn._xlws.FILTER(INDIRECT(F$1&amp;"!$E1:$E10000"),INDIRECT(F$1&amp;"!$a1:$a10000")=汇总!$A9),COUNTIF(INDIRECT(F$1&amp;"!$a1:$a10000"),汇总!$A9)),F8)</f>
        <v/>
      </c>
      <c r="G9" s="563">
        <f t="array" ref="G9">IFERROR(INDEX(_xlfn._xlws.FILTER(INDIRECT(G$1&amp;"!$E1:$E10000"),INDIRECT(G$1&amp;"!$a1:$a10000")=汇总!$A9),COUNTIF(INDIRECT(G$1&amp;"!$a1:$a10000"),汇总!$A9)),G8)</f>
        <v/>
      </c>
      <c r="H9" s="563">
        <f t="array" ref="H9">IFERROR(INDEX(_xlfn._xlws.FILTER(INDIRECT(H$1&amp;"!$E1:$E10000"),INDIRECT(H$1&amp;"!$a1:$a10000")=汇总!$A9),COUNTIF(INDIRECT(H$1&amp;"!$a1:$a10000"),汇总!$A9)),H8)</f>
        <v/>
      </c>
      <c r="I9" s="563">
        <f t="array" ref="I9">IFERROR(INDEX(_xlfn._xlws.FILTER(INDIRECT(I$1&amp;"!$E1:$E10000"),INDIRECT(I$1&amp;"!$a1:$a10000")=汇总!$A9),COUNTIF(INDIRECT(I$1&amp;"!$a1:$a10000"),汇总!$A9)),I8)</f>
        <v/>
      </c>
      <c r="J9" s="563">
        <f t="array" ref="J9">IFERROR(INDEX(_xlfn._xlws.FILTER(INDIRECT(J$1&amp;"!$E1:$E10000"),INDIRECT(J$1&amp;"!$a1:$a10000")=汇总!$A9),COUNTIF(INDIRECT(J$1&amp;"!$a1:$a10000"),汇总!$A9)),J8)</f>
        <v/>
      </c>
      <c r="K9" s="563">
        <f t="array" ref="K9">IFERROR(INDEX(_xlfn._xlws.FILTER(INDIRECT(K$1&amp;"!$E1:$E10000"),INDIRECT(K$1&amp;"!$a1:$a10000")=汇总!$A9),COUNTIF(INDIRECT(K$1&amp;"!$a1:$a10000"),汇总!$A9)),K8)</f>
        <v/>
      </c>
      <c r="L9" s="563">
        <f t="array" ref="L9">IFERROR(INDEX(_xlfn._xlws.FILTER(INDIRECT(L$1&amp;"!$E1:$E10000"),INDIRECT(L$1&amp;"!$a1:$a10000")=汇总!$A9),COUNTIF(INDIRECT(L$1&amp;"!$a1:$a10000"),汇总!$A9)),L8)</f>
        <v/>
      </c>
      <c r="M9" s="563">
        <f t="array" ref="M9">IFERROR(INDEX(_xlfn._xlws.FILTER(INDIRECT(M$1&amp;"!$E1:$E10000"),INDIRECT(M$1&amp;"!$a1:$a10000")=汇总!$A9),COUNTIF(INDIRECT(M$1&amp;"!$a1:$a10000"),汇总!$A9)),M8)</f>
        <v/>
      </c>
      <c r="N9" s="563">
        <f t="array" ref="N9">IFERROR(INDEX(_xlfn._xlws.FILTER(INDIRECT(N$1&amp;"!$E1:$E10000"),INDIRECT(N$1&amp;"!$a1:$a10000")=汇总!$A9),COUNTIF(INDIRECT(N$1&amp;"!$a1:$a10000"),汇总!$A9)),N8)</f>
        <v/>
      </c>
      <c r="O9" s="563">
        <f t="array" ref="O9">IFERROR(INDEX(_xlfn._xlws.FILTER(INDIRECT(O$1&amp;"!$E1:$E10000"),INDIRECT(O$1&amp;"!$a1:$a10000")=汇总!$A9),COUNTIF(INDIRECT(O$1&amp;"!$a1:$a10000"),汇总!$A9)),O8)</f>
        <v/>
      </c>
      <c r="P9" s="563">
        <f t="array" ref="P9">IFERROR(INDEX(_xlfn._xlws.FILTER(INDIRECT(P$1&amp;"!$E1:$E10000"),INDIRECT(P$1&amp;"!$a1:$a10000")=汇总!$A9),COUNTIF(INDIRECT(P$1&amp;"!$a1:$a10000"),汇总!$A9)),P8)</f>
        <v/>
      </c>
      <c r="Q9" s="563">
        <f t="array" ref="Q9">IFERROR(INDEX(_xlfn._xlws.FILTER(INDIRECT(Q$1&amp;"!$E1:$E10000"),INDIRECT(Q$1&amp;"!$a1:$a10000")=汇总!$A9),COUNTIF(INDIRECT(Q$1&amp;"!$a1:$a10000"),汇总!$A9)),Q8)</f>
        <v/>
      </c>
      <c r="R9" s="563">
        <f t="array" ref="R9">IFERROR(INDEX(_xlfn._xlws.FILTER(INDIRECT(R$1&amp;"!$E1:$E10000"),INDIRECT(R$1&amp;"!$a1:$a10000")=汇总!$A9),COUNTIF(INDIRECT(R$1&amp;"!$a1:$a10000"),汇总!$A9)),R8)</f>
        <v/>
      </c>
      <c r="S9" s="563">
        <f t="array" ref="S9">IFERROR(INDEX(_xlfn._xlws.FILTER(INDIRECT(S$1&amp;"!$E1:$E10000"),INDIRECT(S$1&amp;"!$a1:$a10000")=汇总!$A9),COUNTIF(INDIRECT(S$1&amp;"!$a1:$a10000"),汇总!$A9)),S8)</f>
        <v/>
      </c>
    </row>
    <row r="10" hidden="1" s="326">
      <c r="A10" s="1">
        <f>+A9+1</f>
        <v/>
      </c>
      <c r="B10" s="563">
        <f t="array" ref="B10">IFERROR(INDEX(_xlfn._xlws.FILTER(INDIRECT(B$1&amp;"!$E1:$E10000"),INDIRECT(B$1&amp;"!$a1:$a10000")=汇总!$A10),COUNTIF(INDIRECT(B$1&amp;"!$a1:$a10000"),汇总!$A10)),B9)</f>
        <v/>
      </c>
      <c r="C10" s="563">
        <f t="array" ref="C10">IFERROR(INDEX(_xlfn._xlws.FILTER(INDIRECT(C$1&amp;"!$E1:$E10000"),INDIRECT(C$1&amp;"!$a1:$a10000")=汇总!$A10),COUNTIF(INDIRECT(C$1&amp;"!$a1:$a10000"),汇总!$A10)),C9)</f>
        <v/>
      </c>
      <c r="D10" s="563">
        <f t="array" ref="D10">IFERROR(INDEX(_xlfn._xlws.FILTER(INDIRECT(D$1&amp;"!$E1:$E10000"),INDIRECT(D$1&amp;"!$a1:$a10000")=汇总!$A10),COUNTIF(INDIRECT(D$1&amp;"!$a1:$a10000"),汇总!$A10)),D9)</f>
        <v/>
      </c>
      <c r="E10" s="563">
        <f t="array" ref="E10">IFERROR(INDEX(_xlfn._xlws.FILTER(INDIRECT(E$1&amp;"!$E1:$E10000"),INDIRECT(E$1&amp;"!$a1:$a10000")=汇总!$A10),COUNTIF(INDIRECT(E$1&amp;"!$a1:$a10000"),汇总!$A10)),E9)</f>
        <v/>
      </c>
      <c r="F10" s="563">
        <f t="array" ref="F10">IFERROR(INDEX(_xlfn._xlws.FILTER(INDIRECT(F$1&amp;"!$E1:$E10000"),INDIRECT(F$1&amp;"!$a1:$a10000")=汇总!$A10),COUNTIF(INDIRECT(F$1&amp;"!$a1:$a10000"),汇总!$A10)),F9)</f>
        <v/>
      </c>
      <c r="G10" s="563">
        <f t="array" ref="G10">IFERROR(INDEX(_xlfn._xlws.FILTER(INDIRECT(G$1&amp;"!$E1:$E10000"),INDIRECT(G$1&amp;"!$a1:$a10000")=汇总!$A10),COUNTIF(INDIRECT(G$1&amp;"!$a1:$a10000"),汇总!$A10)),G9)</f>
        <v/>
      </c>
      <c r="H10" s="563">
        <f t="array" ref="H10">IFERROR(INDEX(_xlfn._xlws.FILTER(INDIRECT(H$1&amp;"!$E1:$E10000"),INDIRECT(H$1&amp;"!$a1:$a10000")=汇总!$A10),COUNTIF(INDIRECT(H$1&amp;"!$a1:$a10000"),汇总!$A10)),H9)</f>
        <v/>
      </c>
      <c r="I10" s="563">
        <f t="array" ref="I10">IFERROR(INDEX(_xlfn._xlws.FILTER(INDIRECT(I$1&amp;"!$E1:$E10000"),INDIRECT(I$1&amp;"!$a1:$a10000")=汇总!$A10),COUNTIF(INDIRECT(I$1&amp;"!$a1:$a10000"),汇总!$A10)),I9)</f>
        <v/>
      </c>
      <c r="J10" s="563">
        <f t="array" ref="J10">IFERROR(INDEX(_xlfn._xlws.FILTER(INDIRECT(J$1&amp;"!$E1:$E10000"),INDIRECT(J$1&amp;"!$a1:$a10000")=汇总!$A10),COUNTIF(INDIRECT(J$1&amp;"!$a1:$a10000"),汇总!$A10)),J9)</f>
        <v/>
      </c>
      <c r="K10" s="563">
        <f t="array" ref="K10">IFERROR(INDEX(_xlfn._xlws.FILTER(INDIRECT(K$1&amp;"!$E1:$E10000"),INDIRECT(K$1&amp;"!$a1:$a10000")=汇总!$A10),COUNTIF(INDIRECT(K$1&amp;"!$a1:$a10000"),汇总!$A10)),K9)</f>
        <v/>
      </c>
      <c r="L10" s="563">
        <f t="array" ref="L10">IFERROR(INDEX(_xlfn._xlws.FILTER(INDIRECT(L$1&amp;"!$E1:$E10000"),INDIRECT(L$1&amp;"!$a1:$a10000")=汇总!$A10),COUNTIF(INDIRECT(L$1&amp;"!$a1:$a10000"),汇总!$A10)),L9)</f>
        <v/>
      </c>
      <c r="M10" s="563">
        <f t="array" ref="M10">IFERROR(INDEX(_xlfn._xlws.FILTER(INDIRECT(M$1&amp;"!$E1:$E10000"),INDIRECT(M$1&amp;"!$a1:$a10000")=汇总!$A10),COUNTIF(INDIRECT(M$1&amp;"!$a1:$a10000"),汇总!$A10)),M9)</f>
        <v/>
      </c>
      <c r="N10" s="563">
        <f t="array" ref="N10">IFERROR(INDEX(_xlfn._xlws.FILTER(INDIRECT(N$1&amp;"!$E1:$E10000"),INDIRECT(N$1&amp;"!$a1:$a10000")=汇总!$A10),COUNTIF(INDIRECT(N$1&amp;"!$a1:$a10000"),汇总!$A10)),N9)</f>
        <v/>
      </c>
      <c r="O10" s="563">
        <f t="array" ref="O10">IFERROR(INDEX(_xlfn._xlws.FILTER(INDIRECT(O$1&amp;"!$E1:$E10000"),INDIRECT(O$1&amp;"!$a1:$a10000")=汇总!$A10),COUNTIF(INDIRECT(O$1&amp;"!$a1:$a10000"),汇总!$A10)),O9)</f>
        <v/>
      </c>
      <c r="P10" s="563">
        <f t="array" ref="P10">IFERROR(INDEX(_xlfn._xlws.FILTER(INDIRECT(P$1&amp;"!$E1:$E10000"),INDIRECT(P$1&amp;"!$a1:$a10000")=汇总!$A10),COUNTIF(INDIRECT(P$1&amp;"!$a1:$a10000"),汇总!$A10)),P9)</f>
        <v/>
      </c>
      <c r="Q10" s="563">
        <f t="array" ref="Q10">IFERROR(INDEX(_xlfn._xlws.FILTER(INDIRECT(Q$1&amp;"!$E1:$E10000"),INDIRECT(Q$1&amp;"!$a1:$a10000")=汇总!$A10),COUNTIF(INDIRECT(Q$1&amp;"!$a1:$a10000"),汇总!$A10)),Q9)</f>
        <v/>
      </c>
      <c r="R10" s="563">
        <f t="array" ref="R10">IFERROR(INDEX(_xlfn._xlws.FILTER(INDIRECT(R$1&amp;"!$E1:$E10000"),INDIRECT(R$1&amp;"!$a1:$a10000")=汇总!$A10),COUNTIF(INDIRECT(R$1&amp;"!$a1:$a10000"),汇总!$A10)),R9)</f>
        <v/>
      </c>
      <c r="S10" s="563">
        <f t="array" ref="S10">IFERROR(INDEX(_xlfn._xlws.FILTER(INDIRECT(S$1&amp;"!$E1:$E10000"),INDIRECT(S$1&amp;"!$a1:$a10000")=汇总!$A10),COUNTIF(INDIRECT(S$1&amp;"!$a1:$a10000"),汇总!$A10)),S9)</f>
        <v/>
      </c>
    </row>
    <row r="11" hidden="1" s="326">
      <c r="A11" s="1">
        <f>+A10+1</f>
        <v/>
      </c>
      <c r="B11" s="563">
        <f t="array" ref="B11">IFERROR(INDEX(_xlfn._xlws.FILTER(INDIRECT(B$1&amp;"!$E1:$E10000"),INDIRECT(B$1&amp;"!$a1:$a10000")=汇总!$A11),COUNTIF(INDIRECT(B$1&amp;"!$a1:$a10000"),汇总!$A11)),B10)</f>
        <v/>
      </c>
      <c r="C11" s="563">
        <f t="array" ref="C11">IFERROR(INDEX(_xlfn._xlws.FILTER(INDIRECT(C$1&amp;"!$E1:$E10000"),INDIRECT(C$1&amp;"!$a1:$a10000")=汇总!$A11),COUNTIF(INDIRECT(C$1&amp;"!$a1:$a10000"),汇总!$A11)),C10)</f>
        <v/>
      </c>
      <c r="D11" s="563">
        <f t="array" ref="D11">IFERROR(INDEX(_xlfn._xlws.FILTER(INDIRECT(D$1&amp;"!$E1:$E10000"),INDIRECT(D$1&amp;"!$a1:$a10000")=汇总!$A11),COUNTIF(INDIRECT(D$1&amp;"!$a1:$a10000"),汇总!$A11)),D10)</f>
        <v/>
      </c>
      <c r="E11" s="563">
        <f t="array" ref="E11">IFERROR(INDEX(_xlfn._xlws.FILTER(INDIRECT(E$1&amp;"!$E1:$E10000"),INDIRECT(E$1&amp;"!$a1:$a10000")=汇总!$A11),COUNTIF(INDIRECT(E$1&amp;"!$a1:$a10000"),汇总!$A11)),E10)</f>
        <v/>
      </c>
      <c r="F11" s="563">
        <f t="array" ref="F11">IFERROR(INDEX(_xlfn._xlws.FILTER(INDIRECT(F$1&amp;"!$E1:$E10000"),INDIRECT(F$1&amp;"!$a1:$a10000")=汇总!$A11),COUNTIF(INDIRECT(F$1&amp;"!$a1:$a10000"),汇总!$A11)),F10)</f>
        <v/>
      </c>
      <c r="G11" s="563">
        <f t="array" ref="G11">IFERROR(INDEX(_xlfn._xlws.FILTER(INDIRECT(G$1&amp;"!$E1:$E10000"),INDIRECT(G$1&amp;"!$a1:$a10000")=汇总!$A11),COUNTIF(INDIRECT(G$1&amp;"!$a1:$a10000"),汇总!$A11)),G10)</f>
        <v/>
      </c>
      <c r="H11" s="563">
        <f t="array" ref="H11">IFERROR(INDEX(_xlfn._xlws.FILTER(INDIRECT(H$1&amp;"!$E1:$E10000"),INDIRECT(H$1&amp;"!$a1:$a10000")=汇总!$A11),COUNTIF(INDIRECT(H$1&amp;"!$a1:$a10000"),汇总!$A11)),H10)</f>
        <v/>
      </c>
      <c r="I11" s="563">
        <f t="array" ref="I11">IFERROR(INDEX(_xlfn._xlws.FILTER(INDIRECT(I$1&amp;"!$E1:$E10000"),INDIRECT(I$1&amp;"!$a1:$a10000")=汇总!$A11),COUNTIF(INDIRECT(I$1&amp;"!$a1:$a10000"),汇总!$A11)),I10)</f>
        <v/>
      </c>
      <c r="J11" s="563">
        <f t="array" ref="J11">IFERROR(INDEX(_xlfn._xlws.FILTER(INDIRECT(J$1&amp;"!$E1:$E10000"),INDIRECT(J$1&amp;"!$a1:$a10000")=汇总!$A11),COUNTIF(INDIRECT(J$1&amp;"!$a1:$a10000"),汇总!$A11)),J10)</f>
        <v/>
      </c>
      <c r="K11" s="563">
        <f t="array" ref="K11">IFERROR(INDEX(_xlfn._xlws.FILTER(INDIRECT(K$1&amp;"!$E1:$E10000"),INDIRECT(K$1&amp;"!$a1:$a10000")=汇总!$A11),COUNTIF(INDIRECT(K$1&amp;"!$a1:$a10000"),汇总!$A11)),K10)</f>
        <v/>
      </c>
      <c r="L11" s="563">
        <f t="array" ref="L11">IFERROR(INDEX(_xlfn._xlws.FILTER(INDIRECT(L$1&amp;"!$E1:$E10000"),INDIRECT(L$1&amp;"!$a1:$a10000")=汇总!$A11),COUNTIF(INDIRECT(L$1&amp;"!$a1:$a10000"),汇总!$A11)),L10)</f>
        <v/>
      </c>
      <c r="M11" s="563">
        <f t="array" ref="M11">IFERROR(INDEX(_xlfn._xlws.FILTER(INDIRECT(M$1&amp;"!$E1:$E10000"),INDIRECT(M$1&amp;"!$a1:$a10000")=汇总!$A11),COUNTIF(INDIRECT(M$1&amp;"!$a1:$a10000"),汇总!$A11)),M10)</f>
        <v/>
      </c>
      <c r="N11" s="563">
        <f t="array" ref="N11">IFERROR(INDEX(_xlfn._xlws.FILTER(INDIRECT(N$1&amp;"!$E1:$E10000"),INDIRECT(N$1&amp;"!$a1:$a10000")=汇总!$A11),COUNTIF(INDIRECT(N$1&amp;"!$a1:$a10000"),汇总!$A11)),N10)</f>
        <v/>
      </c>
      <c r="O11" s="563">
        <f t="array" ref="O11">IFERROR(INDEX(_xlfn._xlws.FILTER(INDIRECT(O$1&amp;"!$E1:$E10000"),INDIRECT(O$1&amp;"!$a1:$a10000")=汇总!$A11),COUNTIF(INDIRECT(O$1&amp;"!$a1:$a10000"),汇总!$A11)),O10)</f>
        <v/>
      </c>
      <c r="P11" s="563">
        <f t="array" ref="P11">IFERROR(INDEX(_xlfn._xlws.FILTER(INDIRECT(P$1&amp;"!$E1:$E10000"),INDIRECT(P$1&amp;"!$a1:$a10000")=汇总!$A11),COUNTIF(INDIRECT(P$1&amp;"!$a1:$a10000"),汇总!$A11)),P10)</f>
        <v/>
      </c>
      <c r="Q11" s="563">
        <f t="array" ref="Q11">IFERROR(INDEX(_xlfn._xlws.FILTER(INDIRECT(Q$1&amp;"!$E1:$E10000"),INDIRECT(Q$1&amp;"!$a1:$a10000")=汇总!$A11),COUNTIF(INDIRECT(Q$1&amp;"!$a1:$a10000"),汇总!$A11)),Q10)</f>
        <v/>
      </c>
      <c r="R11" s="563">
        <f t="array" ref="R11">IFERROR(INDEX(_xlfn._xlws.FILTER(INDIRECT(R$1&amp;"!$E1:$E10000"),INDIRECT(R$1&amp;"!$a1:$a10000")=汇总!$A11),COUNTIF(INDIRECT(R$1&amp;"!$a1:$a10000"),汇总!$A11)),R10)</f>
        <v/>
      </c>
      <c r="S11" s="563">
        <f t="array" ref="S11">IFERROR(INDEX(_xlfn._xlws.FILTER(INDIRECT(S$1&amp;"!$E1:$E10000"),INDIRECT(S$1&amp;"!$a1:$a10000")=汇总!$A11),COUNTIF(INDIRECT(S$1&amp;"!$a1:$a10000"),汇总!$A11)),S10)</f>
        <v/>
      </c>
    </row>
    <row r="12" hidden="1" s="326">
      <c r="A12" s="1">
        <f>+A11+1</f>
        <v/>
      </c>
      <c r="B12" s="563">
        <f t="array" ref="B12">IFERROR(INDEX(_xlfn._xlws.FILTER(INDIRECT(B$1&amp;"!$E1:$E10000"),INDIRECT(B$1&amp;"!$a1:$a10000")=汇总!$A12),COUNTIF(INDIRECT(B$1&amp;"!$a1:$a10000"),汇总!$A12)),B11)</f>
        <v/>
      </c>
      <c r="C12" s="563">
        <f t="array" ref="C12">IFERROR(INDEX(_xlfn._xlws.FILTER(INDIRECT(C$1&amp;"!$E1:$E10000"),INDIRECT(C$1&amp;"!$a1:$a10000")=汇总!$A12),COUNTIF(INDIRECT(C$1&amp;"!$a1:$a10000"),汇总!$A12)),C11)</f>
        <v/>
      </c>
      <c r="D12" s="563">
        <f t="array" ref="D12">IFERROR(INDEX(_xlfn._xlws.FILTER(INDIRECT(D$1&amp;"!$E1:$E10000"),INDIRECT(D$1&amp;"!$a1:$a10000")=汇总!$A12),COUNTIF(INDIRECT(D$1&amp;"!$a1:$a10000"),汇总!$A12)),D11)</f>
        <v/>
      </c>
      <c r="E12" s="563">
        <f t="array" ref="E12">IFERROR(INDEX(_xlfn._xlws.FILTER(INDIRECT(E$1&amp;"!$E1:$E10000"),INDIRECT(E$1&amp;"!$a1:$a10000")=汇总!$A12),COUNTIF(INDIRECT(E$1&amp;"!$a1:$a10000"),汇总!$A12)),E11)</f>
        <v/>
      </c>
      <c r="F12" s="563">
        <f t="array" ref="F12">IFERROR(INDEX(_xlfn._xlws.FILTER(INDIRECT(F$1&amp;"!$E1:$E10000"),INDIRECT(F$1&amp;"!$a1:$a10000")=汇总!$A12),COUNTIF(INDIRECT(F$1&amp;"!$a1:$a10000"),汇总!$A12)),F11)</f>
        <v/>
      </c>
      <c r="G12" s="563">
        <f t="array" ref="G12">IFERROR(INDEX(_xlfn._xlws.FILTER(INDIRECT(G$1&amp;"!$E1:$E10000"),INDIRECT(G$1&amp;"!$a1:$a10000")=汇总!$A12),COUNTIF(INDIRECT(G$1&amp;"!$a1:$a10000"),汇总!$A12)),G11)</f>
        <v/>
      </c>
      <c r="H12" s="563">
        <f t="array" ref="H12">IFERROR(INDEX(_xlfn._xlws.FILTER(INDIRECT(H$1&amp;"!$E1:$E10000"),INDIRECT(H$1&amp;"!$a1:$a10000")=汇总!$A12),COUNTIF(INDIRECT(H$1&amp;"!$a1:$a10000"),汇总!$A12)),H11)</f>
        <v/>
      </c>
      <c r="I12" s="563">
        <f t="array" ref="I12">IFERROR(INDEX(_xlfn._xlws.FILTER(INDIRECT(I$1&amp;"!$E1:$E10000"),INDIRECT(I$1&amp;"!$a1:$a10000")=汇总!$A12),COUNTIF(INDIRECT(I$1&amp;"!$a1:$a10000"),汇总!$A12)),I11)</f>
        <v/>
      </c>
      <c r="J12" s="563">
        <f t="array" ref="J12">IFERROR(INDEX(_xlfn._xlws.FILTER(INDIRECT(J$1&amp;"!$E1:$E10000"),INDIRECT(J$1&amp;"!$a1:$a10000")=汇总!$A12),COUNTIF(INDIRECT(J$1&amp;"!$a1:$a10000"),汇总!$A12)),J11)</f>
        <v/>
      </c>
      <c r="K12" s="563">
        <f t="array" ref="K12">IFERROR(INDEX(_xlfn._xlws.FILTER(INDIRECT(K$1&amp;"!$E1:$E10000"),INDIRECT(K$1&amp;"!$a1:$a10000")=汇总!$A12),COUNTIF(INDIRECT(K$1&amp;"!$a1:$a10000"),汇总!$A12)),K11)</f>
        <v/>
      </c>
      <c r="L12" s="563">
        <f t="array" ref="L12">IFERROR(INDEX(_xlfn._xlws.FILTER(INDIRECT(L$1&amp;"!$E1:$E10000"),INDIRECT(L$1&amp;"!$a1:$a10000")=汇总!$A12),COUNTIF(INDIRECT(L$1&amp;"!$a1:$a10000"),汇总!$A12)),L11)</f>
        <v/>
      </c>
      <c r="M12" s="563">
        <f t="array" ref="M12">IFERROR(INDEX(_xlfn._xlws.FILTER(INDIRECT(M$1&amp;"!$E1:$E10000"),INDIRECT(M$1&amp;"!$a1:$a10000")=汇总!$A12),COUNTIF(INDIRECT(M$1&amp;"!$a1:$a10000"),汇总!$A12)),M11)</f>
        <v/>
      </c>
      <c r="N12" s="563">
        <f t="array" ref="N12">IFERROR(INDEX(_xlfn._xlws.FILTER(INDIRECT(N$1&amp;"!$E1:$E10000"),INDIRECT(N$1&amp;"!$a1:$a10000")=汇总!$A12),COUNTIF(INDIRECT(N$1&amp;"!$a1:$a10000"),汇总!$A12)),N11)</f>
        <v/>
      </c>
      <c r="O12" s="563">
        <f t="array" ref="O12">IFERROR(INDEX(_xlfn._xlws.FILTER(INDIRECT(O$1&amp;"!$E1:$E10000"),INDIRECT(O$1&amp;"!$a1:$a10000")=汇总!$A12),COUNTIF(INDIRECT(O$1&amp;"!$a1:$a10000"),汇总!$A12)),O11)</f>
        <v/>
      </c>
      <c r="P12" s="563">
        <f t="array" ref="P12">IFERROR(INDEX(_xlfn._xlws.FILTER(INDIRECT(P$1&amp;"!$E1:$E10000"),INDIRECT(P$1&amp;"!$a1:$a10000")=汇总!$A12),COUNTIF(INDIRECT(P$1&amp;"!$a1:$a10000"),汇总!$A12)),P11)</f>
        <v/>
      </c>
      <c r="Q12" s="563">
        <f t="array" ref="Q12">IFERROR(INDEX(_xlfn._xlws.FILTER(INDIRECT(Q$1&amp;"!$E1:$E10000"),INDIRECT(Q$1&amp;"!$a1:$a10000")=汇总!$A12),COUNTIF(INDIRECT(Q$1&amp;"!$a1:$a10000"),汇总!$A12)),Q11)</f>
        <v/>
      </c>
      <c r="R12" s="563">
        <f t="array" ref="R12">IFERROR(INDEX(_xlfn._xlws.FILTER(INDIRECT(R$1&amp;"!$E1:$E10000"),INDIRECT(R$1&amp;"!$a1:$a10000")=汇总!$A12),COUNTIF(INDIRECT(R$1&amp;"!$a1:$a10000"),汇总!$A12)),R11)</f>
        <v/>
      </c>
      <c r="S12" s="563">
        <f t="array" ref="S12">IFERROR(INDEX(_xlfn._xlws.FILTER(INDIRECT(S$1&amp;"!$E1:$E10000"),INDIRECT(S$1&amp;"!$a1:$a10000")=汇总!$A12),COUNTIF(INDIRECT(S$1&amp;"!$a1:$a10000"),汇总!$A12)),S11)</f>
        <v/>
      </c>
    </row>
    <row r="13" hidden="1" s="326">
      <c r="A13" s="1">
        <f>+A12+1</f>
        <v/>
      </c>
      <c r="B13" s="563">
        <f t="array" ref="B13">IFERROR(INDEX(_xlfn._xlws.FILTER(INDIRECT(B$1&amp;"!$E1:$E10000"),INDIRECT(B$1&amp;"!$a1:$a10000")=汇总!$A13),COUNTIF(INDIRECT(B$1&amp;"!$a1:$a10000"),汇总!$A13)),B12)</f>
        <v/>
      </c>
      <c r="C13" s="563">
        <f t="array" ref="C13">IFERROR(INDEX(_xlfn._xlws.FILTER(INDIRECT(C$1&amp;"!$E1:$E10000"),INDIRECT(C$1&amp;"!$a1:$a10000")=汇总!$A13),COUNTIF(INDIRECT(C$1&amp;"!$a1:$a10000"),汇总!$A13)),C12)</f>
        <v/>
      </c>
      <c r="D13" s="563">
        <f t="array" ref="D13">IFERROR(INDEX(_xlfn._xlws.FILTER(INDIRECT(D$1&amp;"!$E1:$E10000"),INDIRECT(D$1&amp;"!$a1:$a10000")=汇总!$A13),COUNTIF(INDIRECT(D$1&amp;"!$a1:$a10000"),汇总!$A13)),D12)</f>
        <v/>
      </c>
      <c r="E13" s="563">
        <f t="array" ref="E13">IFERROR(INDEX(_xlfn._xlws.FILTER(INDIRECT(E$1&amp;"!$E1:$E10000"),INDIRECT(E$1&amp;"!$a1:$a10000")=汇总!$A13),COUNTIF(INDIRECT(E$1&amp;"!$a1:$a10000"),汇总!$A13)),E12)</f>
        <v/>
      </c>
      <c r="F13" s="563">
        <f t="array" ref="F13">IFERROR(INDEX(_xlfn._xlws.FILTER(INDIRECT(F$1&amp;"!$E1:$E10000"),INDIRECT(F$1&amp;"!$a1:$a10000")=汇总!$A13),COUNTIF(INDIRECT(F$1&amp;"!$a1:$a10000"),汇总!$A13)),F12)</f>
        <v/>
      </c>
      <c r="G13" s="563">
        <f t="array" ref="G13">IFERROR(INDEX(_xlfn._xlws.FILTER(INDIRECT(G$1&amp;"!$E1:$E10000"),INDIRECT(G$1&amp;"!$a1:$a10000")=汇总!$A13),COUNTIF(INDIRECT(G$1&amp;"!$a1:$a10000"),汇总!$A13)),G12)</f>
        <v/>
      </c>
      <c r="H13" s="563">
        <f t="array" ref="H13">IFERROR(INDEX(_xlfn._xlws.FILTER(INDIRECT(H$1&amp;"!$E1:$E10000"),INDIRECT(H$1&amp;"!$a1:$a10000")=汇总!$A13),COUNTIF(INDIRECT(H$1&amp;"!$a1:$a10000"),汇总!$A13)),H12)</f>
        <v/>
      </c>
      <c r="I13" s="563">
        <f t="array" ref="I13">IFERROR(INDEX(_xlfn._xlws.FILTER(INDIRECT(I$1&amp;"!$E1:$E10000"),INDIRECT(I$1&amp;"!$a1:$a10000")=汇总!$A13),COUNTIF(INDIRECT(I$1&amp;"!$a1:$a10000"),汇总!$A13)),I12)</f>
        <v/>
      </c>
      <c r="J13" s="563">
        <f t="array" ref="J13">IFERROR(INDEX(_xlfn._xlws.FILTER(INDIRECT(J$1&amp;"!$E1:$E10000"),INDIRECT(J$1&amp;"!$a1:$a10000")=汇总!$A13),COUNTIF(INDIRECT(J$1&amp;"!$a1:$a10000"),汇总!$A13)),J12)</f>
        <v/>
      </c>
      <c r="K13" s="563">
        <f t="array" ref="K13">IFERROR(INDEX(_xlfn._xlws.FILTER(INDIRECT(K$1&amp;"!$E1:$E10000"),INDIRECT(K$1&amp;"!$a1:$a10000")=汇总!$A13),COUNTIF(INDIRECT(K$1&amp;"!$a1:$a10000"),汇总!$A13)),K12)</f>
        <v/>
      </c>
      <c r="L13" s="563">
        <f t="array" ref="L13">IFERROR(INDEX(_xlfn._xlws.FILTER(INDIRECT(L$1&amp;"!$E1:$E10000"),INDIRECT(L$1&amp;"!$a1:$a10000")=汇总!$A13),COUNTIF(INDIRECT(L$1&amp;"!$a1:$a10000"),汇总!$A13)),L12)</f>
        <v/>
      </c>
      <c r="M13" s="563">
        <f t="array" ref="M13">IFERROR(INDEX(_xlfn._xlws.FILTER(INDIRECT(M$1&amp;"!$E1:$E10000"),INDIRECT(M$1&amp;"!$a1:$a10000")=汇总!$A13),COUNTIF(INDIRECT(M$1&amp;"!$a1:$a10000"),汇总!$A13)),M12)</f>
        <v/>
      </c>
      <c r="N13" s="563">
        <f t="array" ref="N13">IFERROR(INDEX(_xlfn._xlws.FILTER(INDIRECT(N$1&amp;"!$E1:$E10000"),INDIRECT(N$1&amp;"!$a1:$a10000")=汇总!$A13),COUNTIF(INDIRECT(N$1&amp;"!$a1:$a10000"),汇总!$A13)),N12)</f>
        <v/>
      </c>
      <c r="O13" s="563">
        <f t="array" ref="O13">IFERROR(INDEX(_xlfn._xlws.FILTER(INDIRECT(O$1&amp;"!$E1:$E10000"),INDIRECT(O$1&amp;"!$a1:$a10000")=汇总!$A13),COUNTIF(INDIRECT(O$1&amp;"!$a1:$a10000"),汇总!$A13)),O12)</f>
        <v/>
      </c>
      <c r="P13" s="563">
        <f t="array" ref="P13">IFERROR(INDEX(_xlfn._xlws.FILTER(INDIRECT(P$1&amp;"!$E1:$E10000"),INDIRECT(P$1&amp;"!$a1:$a10000")=汇总!$A13),COUNTIF(INDIRECT(P$1&amp;"!$a1:$a10000"),汇总!$A13)),P12)</f>
        <v/>
      </c>
      <c r="Q13" s="563">
        <f t="array" ref="Q13">IFERROR(INDEX(_xlfn._xlws.FILTER(INDIRECT(Q$1&amp;"!$E1:$E10000"),INDIRECT(Q$1&amp;"!$a1:$a10000")=汇总!$A13),COUNTIF(INDIRECT(Q$1&amp;"!$a1:$a10000"),汇总!$A13)),Q12)</f>
        <v/>
      </c>
      <c r="R13" s="563">
        <f t="array" ref="R13">IFERROR(INDEX(_xlfn._xlws.FILTER(INDIRECT(R$1&amp;"!$E1:$E10000"),INDIRECT(R$1&amp;"!$a1:$a10000")=汇总!$A13),COUNTIF(INDIRECT(R$1&amp;"!$a1:$a10000"),汇总!$A13)),R12)</f>
        <v/>
      </c>
      <c r="S13" s="563">
        <f t="array" ref="S13">IFERROR(INDEX(_xlfn._xlws.FILTER(INDIRECT(S$1&amp;"!$E1:$E10000"),INDIRECT(S$1&amp;"!$a1:$a10000")=汇总!$A13),COUNTIF(INDIRECT(S$1&amp;"!$a1:$a10000"),汇总!$A13)),S12)</f>
        <v/>
      </c>
    </row>
    <row r="14" hidden="1" s="326">
      <c r="A14" s="1">
        <f>+A13+1</f>
        <v/>
      </c>
      <c r="B14" s="563">
        <f t="array" ref="B14">IFERROR(INDEX(_xlfn._xlws.FILTER(INDIRECT(B$1&amp;"!$E1:$E10000"),INDIRECT(B$1&amp;"!$a1:$a10000")=汇总!$A14),COUNTIF(INDIRECT(B$1&amp;"!$a1:$a10000"),汇总!$A14)),B13)</f>
        <v/>
      </c>
      <c r="C14" s="563">
        <f t="array" ref="C14">IFERROR(INDEX(_xlfn._xlws.FILTER(INDIRECT(C$1&amp;"!$E1:$E10000"),INDIRECT(C$1&amp;"!$a1:$a10000")=汇总!$A14),COUNTIF(INDIRECT(C$1&amp;"!$a1:$a10000"),汇总!$A14)),C13)</f>
        <v/>
      </c>
      <c r="D14" s="563">
        <f t="array" ref="D14">IFERROR(INDEX(_xlfn._xlws.FILTER(INDIRECT(D$1&amp;"!$E1:$E10000"),INDIRECT(D$1&amp;"!$a1:$a10000")=汇总!$A14),COUNTIF(INDIRECT(D$1&amp;"!$a1:$a10000"),汇总!$A14)),D13)</f>
        <v/>
      </c>
      <c r="E14" s="563">
        <f t="array" ref="E14">IFERROR(INDEX(_xlfn._xlws.FILTER(INDIRECT(E$1&amp;"!$E1:$E10000"),INDIRECT(E$1&amp;"!$a1:$a10000")=汇总!$A14),COUNTIF(INDIRECT(E$1&amp;"!$a1:$a10000"),汇总!$A14)),E13)</f>
        <v/>
      </c>
      <c r="F14" s="563">
        <f t="array" ref="F14">IFERROR(INDEX(_xlfn._xlws.FILTER(INDIRECT(F$1&amp;"!$E1:$E10000"),INDIRECT(F$1&amp;"!$a1:$a10000")=汇总!$A14),COUNTIF(INDIRECT(F$1&amp;"!$a1:$a10000"),汇总!$A14)),F13)</f>
        <v/>
      </c>
      <c r="G14" s="563">
        <f t="array" ref="G14">IFERROR(INDEX(_xlfn._xlws.FILTER(INDIRECT(G$1&amp;"!$E1:$E10000"),INDIRECT(G$1&amp;"!$a1:$a10000")=汇总!$A14),COUNTIF(INDIRECT(G$1&amp;"!$a1:$a10000"),汇总!$A14)),G13)</f>
        <v/>
      </c>
      <c r="H14" s="563">
        <f t="array" ref="H14">IFERROR(INDEX(_xlfn._xlws.FILTER(INDIRECT(H$1&amp;"!$E1:$E10000"),INDIRECT(H$1&amp;"!$a1:$a10000")=汇总!$A14),COUNTIF(INDIRECT(H$1&amp;"!$a1:$a10000"),汇总!$A14)),H13)</f>
        <v/>
      </c>
      <c r="I14" s="563">
        <f t="array" ref="I14">IFERROR(INDEX(_xlfn._xlws.FILTER(INDIRECT(I$1&amp;"!$E1:$E10000"),INDIRECT(I$1&amp;"!$a1:$a10000")=汇总!$A14),COUNTIF(INDIRECT(I$1&amp;"!$a1:$a10000"),汇总!$A14)),I13)</f>
        <v/>
      </c>
      <c r="J14" s="563">
        <f t="array" ref="J14">IFERROR(INDEX(_xlfn._xlws.FILTER(INDIRECT(J$1&amp;"!$E1:$E10000"),INDIRECT(J$1&amp;"!$a1:$a10000")=汇总!$A14),COUNTIF(INDIRECT(J$1&amp;"!$a1:$a10000"),汇总!$A14)),J13)</f>
        <v/>
      </c>
      <c r="K14" s="563">
        <f t="array" ref="K14">IFERROR(INDEX(_xlfn._xlws.FILTER(INDIRECT(K$1&amp;"!$E1:$E10000"),INDIRECT(K$1&amp;"!$a1:$a10000")=汇总!$A14),COUNTIF(INDIRECT(K$1&amp;"!$a1:$a10000"),汇总!$A14)),K13)</f>
        <v/>
      </c>
      <c r="L14" s="563">
        <f t="array" ref="L14">IFERROR(INDEX(_xlfn._xlws.FILTER(INDIRECT(L$1&amp;"!$E1:$E10000"),INDIRECT(L$1&amp;"!$a1:$a10000")=汇总!$A14),COUNTIF(INDIRECT(L$1&amp;"!$a1:$a10000"),汇总!$A14)),L13)</f>
        <v/>
      </c>
      <c r="M14" s="563">
        <f t="array" ref="M14">IFERROR(INDEX(_xlfn._xlws.FILTER(INDIRECT(M$1&amp;"!$E1:$E10000"),INDIRECT(M$1&amp;"!$a1:$a10000")=汇总!$A14),COUNTIF(INDIRECT(M$1&amp;"!$a1:$a10000"),汇总!$A14)),M13)</f>
        <v/>
      </c>
      <c r="N14" s="563">
        <f t="array" ref="N14">IFERROR(INDEX(_xlfn._xlws.FILTER(INDIRECT(N$1&amp;"!$E1:$E10000"),INDIRECT(N$1&amp;"!$a1:$a10000")=汇总!$A14),COUNTIF(INDIRECT(N$1&amp;"!$a1:$a10000"),汇总!$A14)),N13)</f>
        <v/>
      </c>
      <c r="O14" s="563">
        <f t="array" ref="O14">IFERROR(INDEX(_xlfn._xlws.FILTER(INDIRECT(O$1&amp;"!$E1:$E10000"),INDIRECT(O$1&amp;"!$a1:$a10000")=汇总!$A14),COUNTIF(INDIRECT(O$1&amp;"!$a1:$a10000"),汇总!$A14)),O13)</f>
        <v/>
      </c>
      <c r="P14" s="563">
        <f t="array" ref="P14">IFERROR(INDEX(_xlfn._xlws.FILTER(INDIRECT(P$1&amp;"!$E1:$E10000"),INDIRECT(P$1&amp;"!$a1:$a10000")=汇总!$A14),COUNTIF(INDIRECT(P$1&amp;"!$a1:$a10000"),汇总!$A14)),P13)</f>
        <v/>
      </c>
      <c r="Q14" s="563">
        <f t="array" ref="Q14">IFERROR(INDEX(_xlfn._xlws.FILTER(INDIRECT(Q$1&amp;"!$E1:$E10000"),INDIRECT(Q$1&amp;"!$a1:$a10000")=汇总!$A14),COUNTIF(INDIRECT(Q$1&amp;"!$a1:$a10000"),汇总!$A14)),Q13)</f>
        <v/>
      </c>
      <c r="R14" s="563">
        <f t="array" ref="R14">IFERROR(INDEX(_xlfn._xlws.FILTER(INDIRECT(R$1&amp;"!$E1:$E10000"),INDIRECT(R$1&amp;"!$a1:$a10000")=汇总!$A14),COUNTIF(INDIRECT(R$1&amp;"!$a1:$a10000"),汇总!$A14)),R13)</f>
        <v/>
      </c>
      <c r="S14" s="563">
        <f t="array" ref="S14">IFERROR(INDEX(_xlfn._xlws.FILTER(INDIRECT(S$1&amp;"!$E1:$E10000"),INDIRECT(S$1&amp;"!$a1:$a10000")=汇总!$A14),COUNTIF(INDIRECT(S$1&amp;"!$a1:$a10000"),汇总!$A14)),S13)</f>
        <v/>
      </c>
    </row>
    <row r="15" hidden="1" s="326">
      <c r="A15" s="1">
        <f>+A14+1</f>
        <v/>
      </c>
      <c r="B15" s="563">
        <f t="array" ref="B15">IFERROR(INDEX(_xlfn._xlws.FILTER(INDIRECT(B$1&amp;"!$E1:$E10000"),INDIRECT(B$1&amp;"!$a1:$a10000")=汇总!$A15),COUNTIF(INDIRECT(B$1&amp;"!$a1:$a10000"),汇总!$A15)),B14)</f>
        <v/>
      </c>
      <c r="C15" s="563">
        <f t="array" ref="C15">IFERROR(INDEX(_xlfn._xlws.FILTER(INDIRECT(C$1&amp;"!$E1:$E10000"),INDIRECT(C$1&amp;"!$a1:$a10000")=汇总!$A15),COUNTIF(INDIRECT(C$1&amp;"!$a1:$a10000"),汇总!$A15)),C14)</f>
        <v/>
      </c>
      <c r="D15" s="563">
        <f t="array" ref="D15">IFERROR(INDEX(_xlfn._xlws.FILTER(INDIRECT(D$1&amp;"!$E1:$E10000"),INDIRECT(D$1&amp;"!$a1:$a10000")=汇总!$A15),COUNTIF(INDIRECT(D$1&amp;"!$a1:$a10000"),汇总!$A15)),D14)</f>
        <v/>
      </c>
      <c r="E15" s="563">
        <f t="array" ref="E15">IFERROR(INDEX(_xlfn._xlws.FILTER(INDIRECT(E$1&amp;"!$E1:$E10000"),INDIRECT(E$1&amp;"!$a1:$a10000")=汇总!$A15),COUNTIF(INDIRECT(E$1&amp;"!$a1:$a10000"),汇总!$A15)),E14)</f>
        <v/>
      </c>
      <c r="F15" s="563">
        <f t="array" ref="F15">IFERROR(INDEX(_xlfn._xlws.FILTER(INDIRECT(F$1&amp;"!$E1:$E10000"),INDIRECT(F$1&amp;"!$a1:$a10000")=汇总!$A15),COUNTIF(INDIRECT(F$1&amp;"!$a1:$a10000"),汇总!$A15)),F14)</f>
        <v/>
      </c>
      <c r="G15" s="563">
        <f t="array" ref="G15">IFERROR(INDEX(_xlfn._xlws.FILTER(INDIRECT(G$1&amp;"!$E1:$E10000"),INDIRECT(G$1&amp;"!$a1:$a10000")=汇总!$A15),COUNTIF(INDIRECT(G$1&amp;"!$a1:$a10000"),汇总!$A15)),G14)</f>
        <v/>
      </c>
      <c r="H15" s="563">
        <f t="array" ref="H15">IFERROR(INDEX(_xlfn._xlws.FILTER(INDIRECT(H$1&amp;"!$E1:$E10000"),INDIRECT(H$1&amp;"!$a1:$a10000")=汇总!$A15),COUNTIF(INDIRECT(H$1&amp;"!$a1:$a10000"),汇总!$A15)),H14)</f>
        <v/>
      </c>
      <c r="I15" s="563">
        <f t="array" ref="I15">IFERROR(INDEX(_xlfn._xlws.FILTER(INDIRECT(I$1&amp;"!$E1:$E10000"),INDIRECT(I$1&amp;"!$a1:$a10000")=汇总!$A15),COUNTIF(INDIRECT(I$1&amp;"!$a1:$a10000"),汇总!$A15)),I14)</f>
        <v/>
      </c>
      <c r="J15" s="563">
        <f t="array" ref="J15">IFERROR(INDEX(_xlfn._xlws.FILTER(INDIRECT(J$1&amp;"!$E1:$E10000"),INDIRECT(J$1&amp;"!$a1:$a10000")=汇总!$A15),COUNTIF(INDIRECT(J$1&amp;"!$a1:$a10000"),汇总!$A15)),J14)</f>
        <v/>
      </c>
      <c r="K15" s="563">
        <f t="array" ref="K15">IFERROR(INDEX(_xlfn._xlws.FILTER(INDIRECT(K$1&amp;"!$E1:$E10000"),INDIRECT(K$1&amp;"!$a1:$a10000")=汇总!$A15),COUNTIF(INDIRECT(K$1&amp;"!$a1:$a10000"),汇总!$A15)),K14)</f>
        <v/>
      </c>
      <c r="L15" s="563">
        <f t="array" ref="L15">IFERROR(INDEX(_xlfn._xlws.FILTER(INDIRECT(L$1&amp;"!$E1:$E10000"),INDIRECT(L$1&amp;"!$a1:$a10000")=汇总!$A15),COUNTIF(INDIRECT(L$1&amp;"!$a1:$a10000"),汇总!$A15)),L14)</f>
        <v/>
      </c>
      <c r="M15" s="563">
        <f t="array" ref="M15">IFERROR(INDEX(_xlfn._xlws.FILTER(INDIRECT(M$1&amp;"!$E1:$E10000"),INDIRECT(M$1&amp;"!$a1:$a10000")=汇总!$A15),COUNTIF(INDIRECT(M$1&amp;"!$a1:$a10000"),汇总!$A15)),M14)</f>
        <v/>
      </c>
      <c r="N15" s="563">
        <f t="array" ref="N15">IFERROR(INDEX(_xlfn._xlws.FILTER(INDIRECT(N$1&amp;"!$E1:$E10000"),INDIRECT(N$1&amp;"!$a1:$a10000")=汇总!$A15),COUNTIF(INDIRECT(N$1&amp;"!$a1:$a10000"),汇总!$A15)),N14)</f>
        <v/>
      </c>
      <c r="O15" s="563">
        <f t="array" ref="O15">IFERROR(INDEX(_xlfn._xlws.FILTER(INDIRECT(O$1&amp;"!$E1:$E10000"),INDIRECT(O$1&amp;"!$a1:$a10000")=汇总!$A15),COUNTIF(INDIRECT(O$1&amp;"!$a1:$a10000"),汇总!$A15)),O14)</f>
        <v/>
      </c>
      <c r="P15" s="563">
        <f t="array" ref="P15">IFERROR(INDEX(_xlfn._xlws.FILTER(INDIRECT(P$1&amp;"!$E1:$E10000"),INDIRECT(P$1&amp;"!$a1:$a10000")=汇总!$A15),COUNTIF(INDIRECT(P$1&amp;"!$a1:$a10000"),汇总!$A15)),P14)</f>
        <v/>
      </c>
      <c r="Q15" s="563">
        <f t="array" ref="Q15">IFERROR(INDEX(_xlfn._xlws.FILTER(INDIRECT(Q$1&amp;"!$E1:$E10000"),INDIRECT(Q$1&amp;"!$a1:$a10000")=汇总!$A15),COUNTIF(INDIRECT(Q$1&amp;"!$a1:$a10000"),汇总!$A15)),Q14)</f>
        <v/>
      </c>
      <c r="R15" s="563">
        <f t="array" ref="R15">IFERROR(INDEX(_xlfn._xlws.FILTER(INDIRECT(R$1&amp;"!$E1:$E10000"),INDIRECT(R$1&amp;"!$a1:$a10000")=汇总!$A15),COUNTIF(INDIRECT(R$1&amp;"!$a1:$a10000"),汇总!$A15)),R14)</f>
        <v/>
      </c>
      <c r="S15" s="563">
        <f t="array" ref="S15">IFERROR(INDEX(_xlfn._xlws.FILTER(INDIRECT(S$1&amp;"!$E1:$E10000"),INDIRECT(S$1&amp;"!$a1:$a10000")=汇总!$A15),COUNTIF(INDIRECT(S$1&amp;"!$a1:$a10000"),汇总!$A15)),S14)</f>
        <v/>
      </c>
    </row>
    <row r="16" hidden="1" s="326">
      <c r="A16" s="1">
        <f>+A15+1</f>
        <v/>
      </c>
      <c r="B16" s="563">
        <f t="array" ref="B16">IFERROR(INDEX(_xlfn._xlws.FILTER(INDIRECT(B$1&amp;"!$E1:$E10000"),INDIRECT(B$1&amp;"!$a1:$a10000")=汇总!$A16),COUNTIF(INDIRECT(B$1&amp;"!$a1:$a10000"),汇总!$A16)),B15)</f>
        <v/>
      </c>
      <c r="C16" s="563">
        <f t="array" ref="C16">IFERROR(INDEX(_xlfn._xlws.FILTER(INDIRECT(C$1&amp;"!$E1:$E10000"),INDIRECT(C$1&amp;"!$a1:$a10000")=汇总!$A16),COUNTIF(INDIRECT(C$1&amp;"!$a1:$a10000"),汇总!$A16)),C15)</f>
        <v/>
      </c>
      <c r="D16" s="563">
        <f t="array" ref="D16">IFERROR(INDEX(_xlfn._xlws.FILTER(INDIRECT(D$1&amp;"!$E1:$E10000"),INDIRECT(D$1&amp;"!$a1:$a10000")=汇总!$A16),COUNTIF(INDIRECT(D$1&amp;"!$a1:$a10000"),汇总!$A16)),D15)</f>
        <v/>
      </c>
      <c r="E16" s="563">
        <f t="array" ref="E16">IFERROR(INDEX(_xlfn._xlws.FILTER(INDIRECT(E$1&amp;"!$E1:$E10000"),INDIRECT(E$1&amp;"!$a1:$a10000")=汇总!$A16),COUNTIF(INDIRECT(E$1&amp;"!$a1:$a10000"),汇总!$A16)),E15)</f>
        <v/>
      </c>
      <c r="F16" s="563">
        <f t="array" ref="F16">IFERROR(INDEX(_xlfn._xlws.FILTER(INDIRECT(F$1&amp;"!$E1:$E10000"),INDIRECT(F$1&amp;"!$a1:$a10000")=汇总!$A16),COUNTIF(INDIRECT(F$1&amp;"!$a1:$a10000"),汇总!$A16)),F15)</f>
        <v/>
      </c>
      <c r="G16" s="563">
        <f t="array" ref="G16">IFERROR(INDEX(_xlfn._xlws.FILTER(INDIRECT(G$1&amp;"!$E1:$E10000"),INDIRECT(G$1&amp;"!$a1:$a10000")=汇总!$A16),COUNTIF(INDIRECT(G$1&amp;"!$a1:$a10000"),汇总!$A16)),G15)</f>
        <v/>
      </c>
      <c r="H16" s="563">
        <f t="array" ref="H16">IFERROR(INDEX(_xlfn._xlws.FILTER(INDIRECT(H$1&amp;"!$E1:$E10000"),INDIRECT(H$1&amp;"!$a1:$a10000")=汇总!$A16),COUNTIF(INDIRECT(H$1&amp;"!$a1:$a10000"),汇总!$A16)),H15)</f>
        <v/>
      </c>
      <c r="I16" s="563">
        <f t="array" ref="I16">IFERROR(INDEX(_xlfn._xlws.FILTER(INDIRECT(I$1&amp;"!$E1:$E10000"),INDIRECT(I$1&amp;"!$a1:$a10000")=汇总!$A16),COUNTIF(INDIRECT(I$1&amp;"!$a1:$a10000"),汇总!$A16)),I15)</f>
        <v/>
      </c>
      <c r="J16" s="563">
        <f t="array" ref="J16">IFERROR(INDEX(_xlfn._xlws.FILTER(INDIRECT(J$1&amp;"!$E1:$E10000"),INDIRECT(J$1&amp;"!$a1:$a10000")=汇总!$A16),COUNTIF(INDIRECT(J$1&amp;"!$a1:$a10000"),汇总!$A16)),J15)</f>
        <v/>
      </c>
      <c r="K16" s="563">
        <f t="array" ref="K16">IFERROR(INDEX(_xlfn._xlws.FILTER(INDIRECT(K$1&amp;"!$E1:$E10000"),INDIRECT(K$1&amp;"!$a1:$a10000")=汇总!$A16),COUNTIF(INDIRECT(K$1&amp;"!$a1:$a10000"),汇总!$A16)),K15)</f>
        <v/>
      </c>
      <c r="L16" s="563">
        <f t="array" ref="L16">IFERROR(INDEX(_xlfn._xlws.FILTER(INDIRECT(L$1&amp;"!$E1:$E10000"),INDIRECT(L$1&amp;"!$a1:$a10000")=汇总!$A16),COUNTIF(INDIRECT(L$1&amp;"!$a1:$a10000"),汇总!$A16)),L15)</f>
        <v/>
      </c>
      <c r="M16" s="563">
        <f t="array" ref="M16">IFERROR(INDEX(_xlfn._xlws.FILTER(INDIRECT(M$1&amp;"!$E1:$E10000"),INDIRECT(M$1&amp;"!$a1:$a10000")=汇总!$A16),COUNTIF(INDIRECT(M$1&amp;"!$a1:$a10000"),汇总!$A16)),M15)</f>
        <v/>
      </c>
      <c r="N16" s="563">
        <f t="array" ref="N16">IFERROR(INDEX(_xlfn._xlws.FILTER(INDIRECT(N$1&amp;"!$E1:$E10000"),INDIRECT(N$1&amp;"!$a1:$a10000")=汇总!$A16),COUNTIF(INDIRECT(N$1&amp;"!$a1:$a10000"),汇总!$A16)),N15)</f>
        <v/>
      </c>
      <c r="O16" s="563">
        <f t="array" ref="O16">IFERROR(INDEX(_xlfn._xlws.FILTER(INDIRECT(O$1&amp;"!$E1:$E10000"),INDIRECT(O$1&amp;"!$a1:$a10000")=汇总!$A16),COUNTIF(INDIRECT(O$1&amp;"!$a1:$a10000"),汇总!$A16)),O15)</f>
        <v/>
      </c>
      <c r="P16" s="563">
        <f t="array" ref="P16">IFERROR(INDEX(_xlfn._xlws.FILTER(INDIRECT(P$1&amp;"!$E1:$E10000"),INDIRECT(P$1&amp;"!$a1:$a10000")=汇总!$A16),COUNTIF(INDIRECT(P$1&amp;"!$a1:$a10000"),汇总!$A16)),P15)</f>
        <v/>
      </c>
      <c r="Q16" s="563">
        <f t="array" ref="Q16">IFERROR(INDEX(_xlfn._xlws.FILTER(INDIRECT(Q$1&amp;"!$E1:$E10000"),INDIRECT(Q$1&amp;"!$a1:$a10000")=汇总!$A16),COUNTIF(INDIRECT(Q$1&amp;"!$a1:$a10000"),汇总!$A16)),Q15)</f>
        <v/>
      </c>
      <c r="R16" s="563">
        <f t="array" ref="R16">IFERROR(INDEX(_xlfn._xlws.FILTER(INDIRECT(R$1&amp;"!$E1:$E10000"),INDIRECT(R$1&amp;"!$a1:$a10000")=汇总!$A16),COUNTIF(INDIRECT(R$1&amp;"!$a1:$a10000"),汇总!$A16)),R15)</f>
        <v/>
      </c>
      <c r="S16" s="563">
        <f t="array" ref="S16">IFERROR(INDEX(_xlfn._xlws.FILTER(INDIRECT(S$1&amp;"!$E1:$E10000"),INDIRECT(S$1&amp;"!$a1:$a10000")=汇总!$A16),COUNTIF(INDIRECT(S$1&amp;"!$a1:$a10000"),汇总!$A16)),S15)</f>
        <v/>
      </c>
    </row>
    <row r="17" hidden="1" s="326">
      <c r="A17" s="1">
        <f>+A16+1</f>
        <v/>
      </c>
      <c r="B17" s="563">
        <f t="array" ref="B17">IFERROR(INDEX(_xlfn._xlws.FILTER(INDIRECT(B$1&amp;"!$E1:$E10000"),INDIRECT(B$1&amp;"!$a1:$a10000")=汇总!$A17),COUNTIF(INDIRECT(B$1&amp;"!$a1:$a10000"),汇总!$A17)),B16)</f>
        <v/>
      </c>
      <c r="C17" s="563">
        <f t="array" ref="C17">IFERROR(INDEX(_xlfn._xlws.FILTER(INDIRECT(C$1&amp;"!$E1:$E10000"),INDIRECT(C$1&amp;"!$a1:$a10000")=汇总!$A17),COUNTIF(INDIRECT(C$1&amp;"!$a1:$a10000"),汇总!$A17)),C16)</f>
        <v/>
      </c>
      <c r="D17" s="563">
        <f t="array" ref="D17">IFERROR(INDEX(_xlfn._xlws.FILTER(INDIRECT(D$1&amp;"!$E1:$E10000"),INDIRECT(D$1&amp;"!$a1:$a10000")=汇总!$A17),COUNTIF(INDIRECT(D$1&amp;"!$a1:$a10000"),汇总!$A17)),D16)</f>
        <v/>
      </c>
      <c r="E17" s="563">
        <f t="array" ref="E17">IFERROR(INDEX(_xlfn._xlws.FILTER(INDIRECT(E$1&amp;"!$E1:$E10000"),INDIRECT(E$1&amp;"!$a1:$a10000")=汇总!$A17),COUNTIF(INDIRECT(E$1&amp;"!$a1:$a10000"),汇总!$A17)),E16)</f>
        <v/>
      </c>
      <c r="F17" s="563">
        <f t="array" ref="F17">IFERROR(INDEX(_xlfn._xlws.FILTER(INDIRECT(F$1&amp;"!$E1:$E10000"),INDIRECT(F$1&amp;"!$a1:$a10000")=汇总!$A17),COUNTIF(INDIRECT(F$1&amp;"!$a1:$a10000"),汇总!$A17)),F16)</f>
        <v/>
      </c>
      <c r="G17" s="563">
        <f t="array" ref="G17">IFERROR(INDEX(_xlfn._xlws.FILTER(INDIRECT(G$1&amp;"!$E1:$E10000"),INDIRECT(G$1&amp;"!$a1:$a10000")=汇总!$A17),COUNTIF(INDIRECT(G$1&amp;"!$a1:$a10000"),汇总!$A17)),G16)</f>
        <v/>
      </c>
      <c r="H17" s="563">
        <f t="array" ref="H17">IFERROR(INDEX(_xlfn._xlws.FILTER(INDIRECT(H$1&amp;"!$E1:$E10000"),INDIRECT(H$1&amp;"!$a1:$a10000")=汇总!$A17),COUNTIF(INDIRECT(H$1&amp;"!$a1:$a10000"),汇总!$A17)),H16)</f>
        <v/>
      </c>
      <c r="I17" s="563">
        <f t="array" ref="I17">IFERROR(INDEX(_xlfn._xlws.FILTER(INDIRECT(I$1&amp;"!$E1:$E10000"),INDIRECT(I$1&amp;"!$a1:$a10000")=汇总!$A17),COUNTIF(INDIRECT(I$1&amp;"!$a1:$a10000"),汇总!$A17)),I16)</f>
        <v/>
      </c>
      <c r="J17" s="563">
        <f t="array" ref="J17">IFERROR(INDEX(_xlfn._xlws.FILTER(INDIRECT(J$1&amp;"!$E1:$E10000"),INDIRECT(J$1&amp;"!$a1:$a10000")=汇总!$A17),COUNTIF(INDIRECT(J$1&amp;"!$a1:$a10000"),汇总!$A17)),J16)</f>
        <v/>
      </c>
      <c r="K17" s="563">
        <f t="array" ref="K17">IFERROR(INDEX(_xlfn._xlws.FILTER(INDIRECT(K$1&amp;"!$E1:$E10000"),INDIRECT(K$1&amp;"!$a1:$a10000")=汇总!$A17),COUNTIF(INDIRECT(K$1&amp;"!$a1:$a10000"),汇总!$A17)),K16)</f>
        <v/>
      </c>
      <c r="L17" s="563">
        <f t="array" ref="L17">IFERROR(INDEX(_xlfn._xlws.FILTER(INDIRECT(L$1&amp;"!$E1:$E10000"),INDIRECT(L$1&amp;"!$a1:$a10000")=汇总!$A17),COUNTIF(INDIRECT(L$1&amp;"!$a1:$a10000"),汇总!$A17)),L16)</f>
        <v/>
      </c>
      <c r="M17" s="563">
        <f t="array" ref="M17">IFERROR(INDEX(_xlfn._xlws.FILTER(INDIRECT(M$1&amp;"!$E1:$E10000"),INDIRECT(M$1&amp;"!$a1:$a10000")=汇总!$A17),COUNTIF(INDIRECT(M$1&amp;"!$a1:$a10000"),汇总!$A17)),M16)</f>
        <v/>
      </c>
      <c r="N17" s="563">
        <f t="array" ref="N17">IFERROR(INDEX(_xlfn._xlws.FILTER(INDIRECT(N$1&amp;"!$E1:$E10000"),INDIRECT(N$1&amp;"!$a1:$a10000")=汇总!$A17),COUNTIF(INDIRECT(N$1&amp;"!$a1:$a10000"),汇总!$A17)),N16)</f>
        <v/>
      </c>
      <c r="O17" s="563">
        <f t="array" ref="O17">IFERROR(INDEX(_xlfn._xlws.FILTER(INDIRECT(O$1&amp;"!$E1:$E10000"),INDIRECT(O$1&amp;"!$a1:$a10000")=汇总!$A17),COUNTIF(INDIRECT(O$1&amp;"!$a1:$a10000"),汇总!$A17)),O16)</f>
        <v/>
      </c>
      <c r="P17" s="563">
        <f t="array" ref="P17">IFERROR(INDEX(_xlfn._xlws.FILTER(INDIRECT(P$1&amp;"!$E1:$E10000"),INDIRECT(P$1&amp;"!$a1:$a10000")=汇总!$A17),COUNTIF(INDIRECT(P$1&amp;"!$a1:$a10000"),汇总!$A17)),P16)</f>
        <v/>
      </c>
      <c r="Q17" s="563">
        <f t="array" ref="Q17">IFERROR(INDEX(_xlfn._xlws.FILTER(INDIRECT(Q$1&amp;"!$E1:$E10000"),INDIRECT(Q$1&amp;"!$a1:$a10000")=汇总!$A17),COUNTIF(INDIRECT(Q$1&amp;"!$a1:$a10000"),汇总!$A17)),Q16)</f>
        <v/>
      </c>
      <c r="R17" s="563">
        <f t="array" ref="R17">IFERROR(INDEX(_xlfn._xlws.FILTER(INDIRECT(R$1&amp;"!$E1:$E10000"),INDIRECT(R$1&amp;"!$a1:$a10000")=汇总!$A17),COUNTIF(INDIRECT(R$1&amp;"!$a1:$a10000"),汇总!$A17)),R16)</f>
        <v/>
      </c>
      <c r="S17" s="563">
        <f t="array" ref="S17">IFERROR(INDEX(_xlfn._xlws.FILTER(INDIRECT(S$1&amp;"!$E1:$E10000"),INDIRECT(S$1&amp;"!$a1:$a10000")=汇总!$A17),COUNTIF(INDIRECT(S$1&amp;"!$a1:$a10000"),汇总!$A17)),S16)</f>
        <v/>
      </c>
    </row>
    <row r="18" hidden="1" s="326">
      <c r="A18" s="1">
        <f>+A17+1</f>
        <v/>
      </c>
      <c r="B18" s="563">
        <f t="array" ref="B18">IFERROR(INDEX(_xlfn._xlws.FILTER(INDIRECT(B$1&amp;"!$E1:$E10000"),INDIRECT(B$1&amp;"!$a1:$a10000")=汇总!$A18),COUNTIF(INDIRECT(B$1&amp;"!$a1:$a10000"),汇总!$A18)),B17)</f>
        <v/>
      </c>
      <c r="C18" s="563">
        <f t="array" ref="C18">IFERROR(INDEX(_xlfn._xlws.FILTER(INDIRECT(C$1&amp;"!$E1:$E10000"),INDIRECT(C$1&amp;"!$a1:$a10000")=汇总!$A18),COUNTIF(INDIRECT(C$1&amp;"!$a1:$a10000"),汇总!$A18)),C17)</f>
        <v/>
      </c>
      <c r="D18" s="563">
        <f t="array" ref="D18">IFERROR(INDEX(_xlfn._xlws.FILTER(INDIRECT(D$1&amp;"!$E1:$E10000"),INDIRECT(D$1&amp;"!$a1:$a10000")=汇总!$A18),COUNTIF(INDIRECT(D$1&amp;"!$a1:$a10000"),汇总!$A18)),D17)</f>
        <v/>
      </c>
      <c r="E18" s="563">
        <f t="array" ref="E18">IFERROR(INDEX(_xlfn._xlws.FILTER(INDIRECT(E$1&amp;"!$E1:$E10000"),INDIRECT(E$1&amp;"!$a1:$a10000")=汇总!$A18),COUNTIF(INDIRECT(E$1&amp;"!$a1:$a10000"),汇总!$A18)),E17)</f>
        <v/>
      </c>
      <c r="F18" s="563">
        <f t="array" ref="F18">IFERROR(INDEX(_xlfn._xlws.FILTER(INDIRECT(F$1&amp;"!$E1:$E10000"),INDIRECT(F$1&amp;"!$a1:$a10000")=汇总!$A18),COUNTIF(INDIRECT(F$1&amp;"!$a1:$a10000"),汇总!$A18)),F17)</f>
        <v/>
      </c>
      <c r="G18" s="563">
        <f t="array" ref="G18">IFERROR(INDEX(_xlfn._xlws.FILTER(INDIRECT(G$1&amp;"!$E1:$E10000"),INDIRECT(G$1&amp;"!$a1:$a10000")=汇总!$A18),COUNTIF(INDIRECT(G$1&amp;"!$a1:$a10000"),汇总!$A18)),G17)</f>
        <v/>
      </c>
      <c r="H18" s="563">
        <f t="array" ref="H18">IFERROR(INDEX(_xlfn._xlws.FILTER(INDIRECT(H$1&amp;"!$E1:$E10000"),INDIRECT(H$1&amp;"!$a1:$a10000")=汇总!$A18),COUNTIF(INDIRECT(H$1&amp;"!$a1:$a10000"),汇总!$A18)),H17)</f>
        <v/>
      </c>
      <c r="I18" s="563">
        <f t="array" ref="I18">IFERROR(INDEX(_xlfn._xlws.FILTER(INDIRECT(I$1&amp;"!$E1:$E10000"),INDIRECT(I$1&amp;"!$a1:$a10000")=汇总!$A18),COUNTIF(INDIRECT(I$1&amp;"!$a1:$a10000"),汇总!$A18)),I17)</f>
        <v/>
      </c>
      <c r="J18" s="563">
        <f t="array" ref="J18">IFERROR(INDEX(_xlfn._xlws.FILTER(INDIRECT(J$1&amp;"!$E1:$E10000"),INDIRECT(J$1&amp;"!$a1:$a10000")=汇总!$A18),COUNTIF(INDIRECT(J$1&amp;"!$a1:$a10000"),汇总!$A18)),J17)</f>
        <v/>
      </c>
      <c r="K18" s="563">
        <f t="array" ref="K18">IFERROR(INDEX(_xlfn._xlws.FILTER(INDIRECT(K$1&amp;"!$E1:$E10000"),INDIRECT(K$1&amp;"!$a1:$a10000")=汇总!$A18),COUNTIF(INDIRECT(K$1&amp;"!$a1:$a10000"),汇总!$A18)),K17)</f>
        <v/>
      </c>
      <c r="L18" s="563">
        <f t="array" ref="L18">IFERROR(INDEX(_xlfn._xlws.FILTER(INDIRECT(L$1&amp;"!$E1:$E10000"),INDIRECT(L$1&amp;"!$a1:$a10000")=汇总!$A18),COUNTIF(INDIRECT(L$1&amp;"!$a1:$a10000"),汇总!$A18)),L17)</f>
        <v/>
      </c>
      <c r="M18" s="563">
        <f t="array" ref="M18">IFERROR(INDEX(_xlfn._xlws.FILTER(INDIRECT(M$1&amp;"!$E1:$E10000"),INDIRECT(M$1&amp;"!$a1:$a10000")=汇总!$A18),COUNTIF(INDIRECT(M$1&amp;"!$a1:$a10000"),汇总!$A18)),M17)</f>
        <v/>
      </c>
      <c r="N18" s="563">
        <f t="array" ref="N18">IFERROR(INDEX(_xlfn._xlws.FILTER(INDIRECT(N$1&amp;"!$E1:$E10000"),INDIRECT(N$1&amp;"!$a1:$a10000")=汇总!$A18),COUNTIF(INDIRECT(N$1&amp;"!$a1:$a10000"),汇总!$A18)),N17)</f>
        <v/>
      </c>
      <c r="O18" s="563">
        <f t="array" ref="O18">IFERROR(INDEX(_xlfn._xlws.FILTER(INDIRECT(O$1&amp;"!$E1:$E10000"),INDIRECT(O$1&amp;"!$a1:$a10000")=汇总!$A18),COUNTIF(INDIRECT(O$1&amp;"!$a1:$a10000"),汇总!$A18)),O17)</f>
        <v/>
      </c>
      <c r="P18" s="563">
        <f t="array" ref="P18">IFERROR(INDEX(_xlfn._xlws.FILTER(INDIRECT(P$1&amp;"!$E1:$E10000"),INDIRECT(P$1&amp;"!$a1:$a10000")=汇总!$A18),COUNTIF(INDIRECT(P$1&amp;"!$a1:$a10000"),汇总!$A18)),P17)</f>
        <v/>
      </c>
      <c r="Q18" s="563">
        <f t="array" ref="Q18">IFERROR(INDEX(_xlfn._xlws.FILTER(INDIRECT(Q$1&amp;"!$E1:$E10000"),INDIRECT(Q$1&amp;"!$a1:$a10000")=汇总!$A18),COUNTIF(INDIRECT(Q$1&amp;"!$a1:$a10000"),汇总!$A18)),Q17)</f>
        <v/>
      </c>
      <c r="R18" s="563">
        <f t="array" ref="R18">IFERROR(INDEX(_xlfn._xlws.FILTER(INDIRECT(R$1&amp;"!$E1:$E10000"),INDIRECT(R$1&amp;"!$a1:$a10000")=汇总!$A18),COUNTIF(INDIRECT(R$1&amp;"!$a1:$a10000"),汇总!$A18)),R17)</f>
        <v/>
      </c>
      <c r="S18" s="563">
        <f t="array" ref="S18">IFERROR(INDEX(_xlfn._xlws.FILTER(INDIRECT(S$1&amp;"!$E1:$E10000"),INDIRECT(S$1&amp;"!$a1:$a10000")=汇总!$A18),COUNTIF(INDIRECT(S$1&amp;"!$a1:$a10000"),汇总!$A18)),S17)</f>
        <v/>
      </c>
    </row>
    <row r="19" hidden="1" s="326">
      <c r="A19" s="1">
        <f>+A18+1</f>
        <v/>
      </c>
      <c r="B19" s="563">
        <f t="array" ref="B19">IFERROR(INDEX(_xlfn._xlws.FILTER(INDIRECT(B$1&amp;"!$E1:$E10000"),INDIRECT(B$1&amp;"!$a1:$a10000")=汇总!$A19),COUNTIF(INDIRECT(B$1&amp;"!$a1:$a10000"),汇总!$A19)),B18)</f>
        <v/>
      </c>
      <c r="C19" s="563">
        <f t="array" ref="C19">IFERROR(INDEX(_xlfn._xlws.FILTER(INDIRECT(C$1&amp;"!$E1:$E10000"),INDIRECT(C$1&amp;"!$a1:$a10000")=汇总!$A19),COUNTIF(INDIRECT(C$1&amp;"!$a1:$a10000"),汇总!$A19)),C18)</f>
        <v/>
      </c>
      <c r="D19" s="563">
        <f t="array" ref="D19">IFERROR(INDEX(_xlfn._xlws.FILTER(INDIRECT(D$1&amp;"!$E1:$E10000"),INDIRECT(D$1&amp;"!$a1:$a10000")=汇总!$A19),COUNTIF(INDIRECT(D$1&amp;"!$a1:$a10000"),汇总!$A19)),D18)</f>
        <v/>
      </c>
      <c r="E19" s="563">
        <f t="array" ref="E19">IFERROR(INDEX(_xlfn._xlws.FILTER(INDIRECT(E$1&amp;"!$E1:$E10000"),INDIRECT(E$1&amp;"!$a1:$a10000")=汇总!$A19),COUNTIF(INDIRECT(E$1&amp;"!$a1:$a10000"),汇总!$A19)),E18)</f>
        <v/>
      </c>
      <c r="F19" s="563">
        <f t="array" ref="F19">IFERROR(INDEX(_xlfn._xlws.FILTER(INDIRECT(F$1&amp;"!$E1:$E10000"),INDIRECT(F$1&amp;"!$a1:$a10000")=汇总!$A19),COUNTIF(INDIRECT(F$1&amp;"!$a1:$a10000"),汇总!$A19)),F18)</f>
        <v/>
      </c>
      <c r="G19" s="563">
        <f t="array" ref="G19">IFERROR(INDEX(_xlfn._xlws.FILTER(INDIRECT(G$1&amp;"!$E1:$E10000"),INDIRECT(G$1&amp;"!$a1:$a10000")=汇总!$A19),COUNTIF(INDIRECT(G$1&amp;"!$a1:$a10000"),汇总!$A19)),G18)</f>
        <v/>
      </c>
      <c r="H19" s="563">
        <f t="array" ref="H19">IFERROR(INDEX(_xlfn._xlws.FILTER(INDIRECT(H$1&amp;"!$E1:$E10000"),INDIRECT(H$1&amp;"!$a1:$a10000")=汇总!$A19),COUNTIF(INDIRECT(H$1&amp;"!$a1:$a10000"),汇总!$A19)),H18)</f>
        <v/>
      </c>
      <c r="I19" s="563">
        <f t="array" ref="I19">IFERROR(INDEX(_xlfn._xlws.FILTER(INDIRECT(I$1&amp;"!$E1:$E10000"),INDIRECT(I$1&amp;"!$a1:$a10000")=汇总!$A19),COUNTIF(INDIRECT(I$1&amp;"!$a1:$a10000"),汇总!$A19)),I18)</f>
        <v/>
      </c>
      <c r="J19" s="563">
        <f t="array" ref="J19">IFERROR(INDEX(_xlfn._xlws.FILTER(INDIRECT(J$1&amp;"!$E1:$E10000"),INDIRECT(J$1&amp;"!$a1:$a10000")=汇总!$A19),COUNTIF(INDIRECT(J$1&amp;"!$a1:$a10000"),汇总!$A19)),J18)</f>
        <v/>
      </c>
      <c r="K19" s="563">
        <f t="array" ref="K19">IFERROR(INDEX(_xlfn._xlws.FILTER(INDIRECT(K$1&amp;"!$E1:$E10000"),INDIRECT(K$1&amp;"!$a1:$a10000")=汇总!$A19),COUNTIF(INDIRECT(K$1&amp;"!$a1:$a10000"),汇总!$A19)),K18)</f>
        <v/>
      </c>
      <c r="L19" s="563">
        <f t="array" ref="L19">IFERROR(INDEX(_xlfn._xlws.FILTER(INDIRECT(L$1&amp;"!$E1:$E10000"),INDIRECT(L$1&amp;"!$a1:$a10000")=汇总!$A19),COUNTIF(INDIRECT(L$1&amp;"!$a1:$a10000"),汇总!$A19)),L18)</f>
        <v/>
      </c>
      <c r="M19" s="563">
        <f t="array" ref="M19">IFERROR(INDEX(_xlfn._xlws.FILTER(INDIRECT(M$1&amp;"!$E1:$E10000"),INDIRECT(M$1&amp;"!$a1:$a10000")=汇总!$A19),COUNTIF(INDIRECT(M$1&amp;"!$a1:$a10000"),汇总!$A19)),M18)</f>
        <v/>
      </c>
      <c r="N19" s="563">
        <f t="array" ref="N19">IFERROR(INDEX(_xlfn._xlws.FILTER(INDIRECT(N$1&amp;"!$E1:$E10000"),INDIRECT(N$1&amp;"!$a1:$a10000")=汇总!$A19),COUNTIF(INDIRECT(N$1&amp;"!$a1:$a10000"),汇总!$A19)),N18)</f>
        <v/>
      </c>
      <c r="O19" s="563">
        <f t="array" ref="O19">IFERROR(INDEX(_xlfn._xlws.FILTER(INDIRECT(O$1&amp;"!$E1:$E10000"),INDIRECT(O$1&amp;"!$a1:$a10000")=汇总!$A19),COUNTIF(INDIRECT(O$1&amp;"!$a1:$a10000"),汇总!$A19)),O18)</f>
        <v/>
      </c>
      <c r="P19" s="563">
        <f t="array" ref="P19">IFERROR(INDEX(_xlfn._xlws.FILTER(INDIRECT(P$1&amp;"!$E1:$E10000"),INDIRECT(P$1&amp;"!$a1:$a10000")=汇总!$A19),COUNTIF(INDIRECT(P$1&amp;"!$a1:$a10000"),汇总!$A19)),P18)</f>
        <v/>
      </c>
      <c r="Q19" s="563">
        <f t="array" ref="Q19">IFERROR(INDEX(_xlfn._xlws.FILTER(INDIRECT(Q$1&amp;"!$E1:$E10000"),INDIRECT(Q$1&amp;"!$a1:$a10000")=汇总!$A19),COUNTIF(INDIRECT(Q$1&amp;"!$a1:$a10000"),汇总!$A19)),Q18)</f>
        <v/>
      </c>
      <c r="R19" s="563">
        <f t="array" ref="R19">IFERROR(INDEX(_xlfn._xlws.FILTER(INDIRECT(R$1&amp;"!$E1:$E10000"),INDIRECT(R$1&amp;"!$a1:$a10000")=汇总!$A19),COUNTIF(INDIRECT(R$1&amp;"!$a1:$a10000"),汇总!$A19)),R18)</f>
        <v/>
      </c>
      <c r="S19" s="563">
        <f t="array" ref="S19">IFERROR(INDEX(_xlfn._xlws.FILTER(INDIRECT(S$1&amp;"!$E1:$E10000"),INDIRECT(S$1&amp;"!$a1:$a10000")=汇总!$A19),COUNTIF(INDIRECT(S$1&amp;"!$a1:$a10000"),汇总!$A19)),S18)</f>
        <v/>
      </c>
    </row>
    <row r="20" hidden="1" s="326">
      <c r="A20" s="1">
        <f>+A19+1</f>
        <v/>
      </c>
      <c r="B20" s="563">
        <f t="array" ref="B20">IFERROR(INDEX(_xlfn._xlws.FILTER(INDIRECT(B$1&amp;"!$E1:$E10000"),INDIRECT(B$1&amp;"!$a1:$a10000")=汇总!$A20),COUNTIF(INDIRECT(B$1&amp;"!$a1:$a10000"),汇总!$A20)),B19)</f>
        <v/>
      </c>
      <c r="C20" s="563">
        <f t="array" ref="C20">IFERROR(INDEX(_xlfn._xlws.FILTER(INDIRECT(C$1&amp;"!$E1:$E10000"),INDIRECT(C$1&amp;"!$a1:$a10000")=汇总!$A20),COUNTIF(INDIRECT(C$1&amp;"!$a1:$a10000"),汇总!$A20)),C19)</f>
        <v/>
      </c>
      <c r="D20" s="563">
        <f t="array" ref="D20">IFERROR(INDEX(_xlfn._xlws.FILTER(INDIRECT(D$1&amp;"!$E1:$E10000"),INDIRECT(D$1&amp;"!$a1:$a10000")=汇总!$A20),COUNTIF(INDIRECT(D$1&amp;"!$a1:$a10000"),汇总!$A20)),D19)</f>
        <v/>
      </c>
      <c r="E20" s="563">
        <f t="array" ref="E20">IFERROR(INDEX(_xlfn._xlws.FILTER(INDIRECT(E$1&amp;"!$E1:$E10000"),INDIRECT(E$1&amp;"!$a1:$a10000")=汇总!$A20),COUNTIF(INDIRECT(E$1&amp;"!$a1:$a10000"),汇总!$A20)),E19)</f>
        <v/>
      </c>
      <c r="F20" s="563">
        <f t="array" ref="F20">IFERROR(INDEX(_xlfn._xlws.FILTER(INDIRECT(F$1&amp;"!$E1:$E10000"),INDIRECT(F$1&amp;"!$a1:$a10000")=汇总!$A20),COUNTIF(INDIRECT(F$1&amp;"!$a1:$a10000"),汇总!$A20)),F19)</f>
        <v/>
      </c>
      <c r="G20" s="563">
        <f t="array" ref="G20">IFERROR(INDEX(_xlfn._xlws.FILTER(INDIRECT(G$1&amp;"!$E1:$E10000"),INDIRECT(G$1&amp;"!$a1:$a10000")=汇总!$A20),COUNTIF(INDIRECT(G$1&amp;"!$a1:$a10000"),汇总!$A20)),G19)</f>
        <v/>
      </c>
      <c r="H20" s="563">
        <f t="array" ref="H20">IFERROR(INDEX(_xlfn._xlws.FILTER(INDIRECT(H$1&amp;"!$E1:$E10000"),INDIRECT(H$1&amp;"!$a1:$a10000")=汇总!$A20),COUNTIF(INDIRECT(H$1&amp;"!$a1:$a10000"),汇总!$A20)),H19)</f>
        <v/>
      </c>
      <c r="I20" s="563">
        <f t="array" ref="I20">IFERROR(INDEX(_xlfn._xlws.FILTER(INDIRECT(I$1&amp;"!$E1:$E10000"),INDIRECT(I$1&amp;"!$a1:$a10000")=汇总!$A20),COUNTIF(INDIRECT(I$1&amp;"!$a1:$a10000"),汇总!$A20)),I19)</f>
        <v/>
      </c>
      <c r="J20" s="563">
        <f t="array" ref="J20">IFERROR(INDEX(_xlfn._xlws.FILTER(INDIRECT(J$1&amp;"!$E1:$E10000"),INDIRECT(J$1&amp;"!$a1:$a10000")=汇总!$A20),COUNTIF(INDIRECT(J$1&amp;"!$a1:$a10000"),汇总!$A20)),J19)</f>
        <v/>
      </c>
      <c r="K20" s="563">
        <f t="array" ref="K20">IFERROR(INDEX(_xlfn._xlws.FILTER(INDIRECT(K$1&amp;"!$E1:$E10000"),INDIRECT(K$1&amp;"!$a1:$a10000")=汇总!$A20),COUNTIF(INDIRECT(K$1&amp;"!$a1:$a10000"),汇总!$A20)),K19)</f>
        <v/>
      </c>
      <c r="L20" s="563">
        <f t="array" ref="L20">IFERROR(INDEX(_xlfn._xlws.FILTER(INDIRECT(L$1&amp;"!$E1:$E10000"),INDIRECT(L$1&amp;"!$a1:$a10000")=汇总!$A20),COUNTIF(INDIRECT(L$1&amp;"!$a1:$a10000"),汇总!$A20)),L19)</f>
        <v/>
      </c>
      <c r="M20" s="563">
        <f t="array" ref="M20">IFERROR(INDEX(_xlfn._xlws.FILTER(INDIRECT(M$1&amp;"!$E1:$E10000"),INDIRECT(M$1&amp;"!$a1:$a10000")=汇总!$A20),COUNTIF(INDIRECT(M$1&amp;"!$a1:$a10000"),汇总!$A20)),M19)</f>
        <v/>
      </c>
      <c r="N20" s="563">
        <f t="array" ref="N20">IFERROR(INDEX(_xlfn._xlws.FILTER(INDIRECT(N$1&amp;"!$E1:$E10000"),INDIRECT(N$1&amp;"!$a1:$a10000")=汇总!$A20),COUNTIF(INDIRECT(N$1&amp;"!$a1:$a10000"),汇总!$A20)),N19)</f>
        <v/>
      </c>
      <c r="O20" s="563">
        <f t="array" ref="O20">IFERROR(INDEX(_xlfn._xlws.FILTER(INDIRECT(O$1&amp;"!$E1:$E10000"),INDIRECT(O$1&amp;"!$a1:$a10000")=汇总!$A20),COUNTIF(INDIRECT(O$1&amp;"!$a1:$a10000"),汇总!$A20)),O19)</f>
        <v/>
      </c>
      <c r="P20" s="563">
        <f t="array" ref="P20">IFERROR(INDEX(_xlfn._xlws.FILTER(INDIRECT(P$1&amp;"!$E1:$E10000"),INDIRECT(P$1&amp;"!$a1:$a10000")=汇总!$A20),COUNTIF(INDIRECT(P$1&amp;"!$a1:$a10000"),汇总!$A20)),P19)</f>
        <v/>
      </c>
      <c r="Q20" s="563">
        <f t="array" ref="Q20">IFERROR(INDEX(_xlfn._xlws.FILTER(INDIRECT(Q$1&amp;"!$E1:$E10000"),INDIRECT(Q$1&amp;"!$a1:$a10000")=汇总!$A20),COUNTIF(INDIRECT(Q$1&amp;"!$a1:$a10000"),汇总!$A20)),Q19)</f>
        <v/>
      </c>
      <c r="R20" s="563">
        <f t="array" ref="R20">IFERROR(INDEX(_xlfn._xlws.FILTER(INDIRECT(R$1&amp;"!$E1:$E10000"),INDIRECT(R$1&amp;"!$a1:$a10000")=汇总!$A20),COUNTIF(INDIRECT(R$1&amp;"!$a1:$a10000"),汇总!$A20)),R19)</f>
        <v/>
      </c>
      <c r="S20" s="563">
        <f t="array" ref="S20">IFERROR(INDEX(_xlfn._xlws.FILTER(INDIRECT(S$1&amp;"!$E1:$E10000"),INDIRECT(S$1&amp;"!$a1:$a10000")=汇总!$A20),COUNTIF(INDIRECT(S$1&amp;"!$a1:$a10000"),汇总!$A20)),S19)</f>
        <v/>
      </c>
    </row>
    <row r="21" hidden="1" s="326">
      <c r="A21" s="1">
        <f>+A20+1</f>
        <v/>
      </c>
      <c r="B21" s="563">
        <f t="array" ref="B21">IFERROR(INDEX(_xlfn._xlws.FILTER(INDIRECT(B$1&amp;"!$E1:$E10000"),INDIRECT(B$1&amp;"!$a1:$a10000")=汇总!$A21),COUNTIF(INDIRECT(B$1&amp;"!$a1:$a10000"),汇总!$A21)),B20)</f>
        <v/>
      </c>
      <c r="C21" s="563">
        <f t="array" ref="C21">IFERROR(INDEX(_xlfn._xlws.FILTER(INDIRECT(C$1&amp;"!$E1:$E10000"),INDIRECT(C$1&amp;"!$a1:$a10000")=汇总!$A21),COUNTIF(INDIRECT(C$1&amp;"!$a1:$a10000"),汇总!$A21)),C20)</f>
        <v/>
      </c>
      <c r="D21" s="563">
        <f t="array" ref="D21">IFERROR(INDEX(_xlfn._xlws.FILTER(INDIRECT(D$1&amp;"!$E1:$E10000"),INDIRECT(D$1&amp;"!$a1:$a10000")=汇总!$A21),COUNTIF(INDIRECT(D$1&amp;"!$a1:$a10000"),汇总!$A21)),D20)</f>
        <v/>
      </c>
      <c r="E21" s="563">
        <f t="array" ref="E21">IFERROR(INDEX(_xlfn._xlws.FILTER(INDIRECT(E$1&amp;"!$E1:$E10000"),INDIRECT(E$1&amp;"!$a1:$a10000")=汇总!$A21),COUNTIF(INDIRECT(E$1&amp;"!$a1:$a10000"),汇总!$A21)),E20)</f>
        <v/>
      </c>
      <c r="F21" s="563">
        <f t="array" ref="F21">IFERROR(INDEX(_xlfn._xlws.FILTER(INDIRECT(F$1&amp;"!$E1:$E10000"),INDIRECT(F$1&amp;"!$a1:$a10000")=汇总!$A21),COUNTIF(INDIRECT(F$1&amp;"!$a1:$a10000"),汇总!$A21)),F20)</f>
        <v/>
      </c>
      <c r="G21" s="563">
        <f t="array" ref="G21">IFERROR(INDEX(_xlfn._xlws.FILTER(INDIRECT(G$1&amp;"!$E1:$E10000"),INDIRECT(G$1&amp;"!$a1:$a10000")=汇总!$A21),COUNTIF(INDIRECT(G$1&amp;"!$a1:$a10000"),汇总!$A21)),G20)</f>
        <v/>
      </c>
      <c r="H21" s="563">
        <f t="array" ref="H21">IFERROR(INDEX(_xlfn._xlws.FILTER(INDIRECT(H$1&amp;"!$E1:$E10000"),INDIRECT(H$1&amp;"!$a1:$a10000")=汇总!$A21),COUNTIF(INDIRECT(H$1&amp;"!$a1:$a10000"),汇总!$A21)),H20)</f>
        <v/>
      </c>
      <c r="I21" s="563">
        <f t="array" ref="I21">IFERROR(INDEX(_xlfn._xlws.FILTER(INDIRECT(I$1&amp;"!$E1:$E10000"),INDIRECT(I$1&amp;"!$a1:$a10000")=汇总!$A21),COUNTIF(INDIRECT(I$1&amp;"!$a1:$a10000"),汇总!$A21)),I20)</f>
        <v/>
      </c>
      <c r="J21" s="563">
        <f t="array" ref="J21">IFERROR(INDEX(_xlfn._xlws.FILTER(INDIRECT(J$1&amp;"!$E1:$E10000"),INDIRECT(J$1&amp;"!$a1:$a10000")=汇总!$A21),COUNTIF(INDIRECT(J$1&amp;"!$a1:$a10000"),汇总!$A21)),J20)</f>
        <v/>
      </c>
      <c r="K21" s="563">
        <f t="array" ref="K21">IFERROR(INDEX(_xlfn._xlws.FILTER(INDIRECT(K$1&amp;"!$E1:$E10000"),INDIRECT(K$1&amp;"!$a1:$a10000")=汇总!$A21),COUNTIF(INDIRECT(K$1&amp;"!$a1:$a10000"),汇总!$A21)),K20)</f>
        <v/>
      </c>
      <c r="L21" s="563">
        <f t="array" ref="L21">IFERROR(INDEX(_xlfn._xlws.FILTER(INDIRECT(L$1&amp;"!$E1:$E10000"),INDIRECT(L$1&amp;"!$a1:$a10000")=汇总!$A21),COUNTIF(INDIRECT(L$1&amp;"!$a1:$a10000"),汇总!$A21)),L20)</f>
        <v/>
      </c>
      <c r="M21" s="563">
        <f t="array" ref="M21">IFERROR(INDEX(_xlfn._xlws.FILTER(INDIRECT(M$1&amp;"!$E1:$E10000"),INDIRECT(M$1&amp;"!$a1:$a10000")=汇总!$A21),COUNTIF(INDIRECT(M$1&amp;"!$a1:$a10000"),汇总!$A21)),M20)</f>
        <v/>
      </c>
      <c r="N21" s="563">
        <f t="array" ref="N21">IFERROR(INDEX(_xlfn._xlws.FILTER(INDIRECT(N$1&amp;"!$E1:$E10000"),INDIRECT(N$1&amp;"!$a1:$a10000")=汇总!$A21),COUNTIF(INDIRECT(N$1&amp;"!$a1:$a10000"),汇总!$A21)),N20)</f>
        <v/>
      </c>
      <c r="O21" s="563">
        <f t="array" ref="O21">IFERROR(INDEX(_xlfn._xlws.FILTER(INDIRECT(O$1&amp;"!$E1:$E10000"),INDIRECT(O$1&amp;"!$a1:$a10000")=汇总!$A21),COUNTIF(INDIRECT(O$1&amp;"!$a1:$a10000"),汇总!$A21)),O20)</f>
        <v/>
      </c>
      <c r="P21" s="563">
        <f t="array" ref="P21">IFERROR(INDEX(_xlfn._xlws.FILTER(INDIRECT(P$1&amp;"!$E1:$E10000"),INDIRECT(P$1&amp;"!$a1:$a10000")=汇总!$A21),COUNTIF(INDIRECT(P$1&amp;"!$a1:$a10000"),汇总!$A21)),P20)</f>
        <v/>
      </c>
      <c r="Q21" s="563">
        <f t="array" ref="Q21">IFERROR(INDEX(_xlfn._xlws.FILTER(INDIRECT(Q$1&amp;"!$E1:$E10000"),INDIRECT(Q$1&amp;"!$a1:$a10000")=汇总!$A21),COUNTIF(INDIRECT(Q$1&amp;"!$a1:$a10000"),汇总!$A21)),Q20)</f>
        <v/>
      </c>
      <c r="R21" s="563">
        <f t="array" ref="R21">IFERROR(INDEX(_xlfn._xlws.FILTER(INDIRECT(R$1&amp;"!$E1:$E10000"),INDIRECT(R$1&amp;"!$a1:$a10000")=汇总!$A21),COUNTIF(INDIRECT(R$1&amp;"!$a1:$a10000"),汇总!$A21)),R20)</f>
        <v/>
      </c>
      <c r="S21" s="563">
        <f t="array" ref="S21">IFERROR(INDEX(_xlfn._xlws.FILTER(INDIRECT(S$1&amp;"!$E1:$E10000"),INDIRECT(S$1&amp;"!$a1:$a10000")=汇总!$A21),COUNTIF(INDIRECT(S$1&amp;"!$a1:$a10000"),汇总!$A21)),S20)</f>
        <v/>
      </c>
    </row>
    <row r="22" hidden="1" s="326">
      <c r="A22" s="1">
        <f>+A21+1</f>
        <v/>
      </c>
      <c r="B22" s="563">
        <f t="array" ref="B22">IFERROR(INDEX(_xlfn._xlws.FILTER(INDIRECT(B$1&amp;"!$E1:$E10000"),INDIRECT(B$1&amp;"!$a1:$a10000")=汇总!$A22),COUNTIF(INDIRECT(B$1&amp;"!$a1:$a10000"),汇总!$A22)),B21)</f>
        <v/>
      </c>
      <c r="C22" s="563">
        <f t="array" ref="C22">IFERROR(INDEX(_xlfn._xlws.FILTER(INDIRECT(C$1&amp;"!$E1:$E10000"),INDIRECT(C$1&amp;"!$a1:$a10000")=汇总!$A22),COUNTIF(INDIRECT(C$1&amp;"!$a1:$a10000"),汇总!$A22)),C21)</f>
        <v/>
      </c>
      <c r="D22" s="563">
        <f t="array" ref="D22">IFERROR(INDEX(_xlfn._xlws.FILTER(INDIRECT(D$1&amp;"!$E1:$E10000"),INDIRECT(D$1&amp;"!$a1:$a10000")=汇总!$A22),COUNTIF(INDIRECT(D$1&amp;"!$a1:$a10000"),汇总!$A22)),D21)</f>
        <v/>
      </c>
      <c r="E22" s="563">
        <f t="array" ref="E22">IFERROR(INDEX(_xlfn._xlws.FILTER(INDIRECT(E$1&amp;"!$E1:$E10000"),INDIRECT(E$1&amp;"!$a1:$a10000")=汇总!$A22),COUNTIF(INDIRECT(E$1&amp;"!$a1:$a10000"),汇总!$A22)),E21)</f>
        <v/>
      </c>
      <c r="F22" s="563">
        <f t="array" ref="F22">IFERROR(INDEX(_xlfn._xlws.FILTER(INDIRECT(F$1&amp;"!$E1:$E10000"),INDIRECT(F$1&amp;"!$a1:$a10000")=汇总!$A22),COUNTIF(INDIRECT(F$1&amp;"!$a1:$a10000"),汇总!$A22)),F21)</f>
        <v/>
      </c>
      <c r="G22" s="563">
        <f t="array" ref="G22">IFERROR(INDEX(_xlfn._xlws.FILTER(INDIRECT(G$1&amp;"!$E1:$E10000"),INDIRECT(G$1&amp;"!$a1:$a10000")=汇总!$A22),COUNTIF(INDIRECT(G$1&amp;"!$a1:$a10000"),汇总!$A22)),G21)</f>
        <v/>
      </c>
      <c r="H22" s="563">
        <f t="array" ref="H22">IFERROR(INDEX(_xlfn._xlws.FILTER(INDIRECT(H$1&amp;"!$E1:$E10000"),INDIRECT(H$1&amp;"!$a1:$a10000")=汇总!$A22),COUNTIF(INDIRECT(H$1&amp;"!$a1:$a10000"),汇总!$A22)),H21)</f>
        <v/>
      </c>
      <c r="I22" s="563">
        <f t="array" ref="I22">IFERROR(INDEX(_xlfn._xlws.FILTER(INDIRECT(I$1&amp;"!$E1:$E10000"),INDIRECT(I$1&amp;"!$a1:$a10000")=汇总!$A22),COUNTIF(INDIRECT(I$1&amp;"!$a1:$a10000"),汇总!$A22)),I21)</f>
        <v/>
      </c>
      <c r="J22" s="563">
        <f t="array" ref="J22">IFERROR(INDEX(_xlfn._xlws.FILTER(INDIRECT(J$1&amp;"!$E1:$E10000"),INDIRECT(J$1&amp;"!$a1:$a10000")=汇总!$A22),COUNTIF(INDIRECT(J$1&amp;"!$a1:$a10000"),汇总!$A22)),J21)</f>
        <v/>
      </c>
      <c r="K22" s="563">
        <f t="array" ref="K22">IFERROR(INDEX(_xlfn._xlws.FILTER(INDIRECT(K$1&amp;"!$E1:$E10000"),INDIRECT(K$1&amp;"!$a1:$a10000")=汇总!$A22),COUNTIF(INDIRECT(K$1&amp;"!$a1:$a10000"),汇总!$A22)),K21)</f>
        <v/>
      </c>
      <c r="L22" s="563">
        <f t="array" ref="L22">IFERROR(INDEX(_xlfn._xlws.FILTER(INDIRECT(L$1&amp;"!$E1:$E10000"),INDIRECT(L$1&amp;"!$a1:$a10000")=汇总!$A22),COUNTIF(INDIRECT(L$1&amp;"!$a1:$a10000"),汇总!$A22)),L21)</f>
        <v/>
      </c>
      <c r="M22" s="563">
        <f t="array" ref="M22">IFERROR(INDEX(_xlfn._xlws.FILTER(INDIRECT(M$1&amp;"!$E1:$E10000"),INDIRECT(M$1&amp;"!$a1:$a10000")=汇总!$A22),COUNTIF(INDIRECT(M$1&amp;"!$a1:$a10000"),汇总!$A22)),M21)</f>
        <v/>
      </c>
      <c r="N22" s="563">
        <f t="array" ref="N22">IFERROR(INDEX(_xlfn._xlws.FILTER(INDIRECT(N$1&amp;"!$E1:$E10000"),INDIRECT(N$1&amp;"!$a1:$a10000")=汇总!$A22),COUNTIF(INDIRECT(N$1&amp;"!$a1:$a10000"),汇总!$A22)),N21)</f>
        <v/>
      </c>
      <c r="O22" s="563">
        <f t="array" ref="O22">IFERROR(INDEX(_xlfn._xlws.FILTER(INDIRECT(O$1&amp;"!$E1:$E10000"),INDIRECT(O$1&amp;"!$a1:$a10000")=汇总!$A22),COUNTIF(INDIRECT(O$1&amp;"!$a1:$a10000"),汇总!$A22)),O21)</f>
        <v/>
      </c>
      <c r="P22" s="563">
        <f t="array" ref="P22">IFERROR(INDEX(_xlfn._xlws.FILTER(INDIRECT(P$1&amp;"!$E1:$E10000"),INDIRECT(P$1&amp;"!$a1:$a10000")=汇总!$A22),COUNTIF(INDIRECT(P$1&amp;"!$a1:$a10000"),汇总!$A22)),P21)</f>
        <v/>
      </c>
      <c r="Q22" s="563">
        <f t="array" ref="Q22">IFERROR(INDEX(_xlfn._xlws.FILTER(INDIRECT(Q$1&amp;"!$E1:$E10000"),INDIRECT(Q$1&amp;"!$a1:$a10000")=汇总!$A22),COUNTIF(INDIRECT(Q$1&amp;"!$a1:$a10000"),汇总!$A22)),Q21)</f>
        <v/>
      </c>
      <c r="R22" s="563">
        <f t="array" ref="R22">IFERROR(INDEX(_xlfn._xlws.FILTER(INDIRECT(R$1&amp;"!$E1:$E10000"),INDIRECT(R$1&amp;"!$a1:$a10000")=汇总!$A22),COUNTIF(INDIRECT(R$1&amp;"!$a1:$a10000"),汇总!$A22)),R21)</f>
        <v/>
      </c>
      <c r="S22" s="563">
        <f t="array" ref="S22">IFERROR(INDEX(_xlfn._xlws.FILTER(INDIRECT(S$1&amp;"!$E1:$E10000"),INDIRECT(S$1&amp;"!$a1:$a10000")=汇总!$A22),COUNTIF(INDIRECT(S$1&amp;"!$a1:$a10000"),汇总!$A22)),S21)</f>
        <v/>
      </c>
    </row>
    <row r="23" hidden="1" s="326">
      <c r="A23" s="1">
        <f>+A22+1</f>
        <v/>
      </c>
      <c r="B23" s="563">
        <f t="array" ref="B23">IFERROR(INDEX(_xlfn._xlws.FILTER(INDIRECT(B$1&amp;"!$E1:$E10000"),INDIRECT(B$1&amp;"!$a1:$a10000")=汇总!$A23),COUNTIF(INDIRECT(B$1&amp;"!$a1:$a10000"),汇总!$A23)),B22)</f>
        <v/>
      </c>
      <c r="C23" s="563">
        <f t="array" ref="C23">IFERROR(INDEX(_xlfn._xlws.FILTER(INDIRECT(C$1&amp;"!$E1:$E10000"),INDIRECT(C$1&amp;"!$a1:$a10000")=汇总!$A23),COUNTIF(INDIRECT(C$1&amp;"!$a1:$a10000"),汇总!$A23)),C22)</f>
        <v/>
      </c>
      <c r="D23" s="563">
        <f t="array" ref="D23">IFERROR(INDEX(_xlfn._xlws.FILTER(INDIRECT(D$1&amp;"!$E1:$E10000"),INDIRECT(D$1&amp;"!$a1:$a10000")=汇总!$A23),COUNTIF(INDIRECT(D$1&amp;"!$a1:$a10000"),汇总!$A23)),D22)</f>
        <v/>
      </c>
      <c r="E23" s="563">
        <f t="array" ref="E23">IFERROR(INDEX(_xlfn._xlws.FILTER(INDIRECT(E$1&amp;"!$E1:$E10000"),INDIRECT(E$1&amp;"!$a1:$a10000")=汇总!$A23),COUNTIF(INDIRECT(E$1&amp;"!$a1:$a10000"),汇总!$A23)),E22)</f>
        <v/>
      </c>
      <c r="F23" s="563">
        <f t="array" ref="F23">IFERROR(INDEX(_xlfn._xlws.FILTER(INDIRECT(F$1&amp;"!$E1:$E10000"),INDIRECT(F$1&amp;"!$a1:$a10000")=汇总!$A23),COUNTIF(INDIRECT(F$1&amp;"!$a1:$a10000"),汇总!$A23)),F22)</f>
        <v/>
      </c>
      <c r="G23" s="563">
        <f t="array" ref="G23">IFERROR(INDEX(_xlfn._xlws.FILTER(INDIRECT(G$1&amp;"!$E1:$E10000"),INDIRECT(G$1&amp;"!$a1:$a10000")=汇总!$A23),COUNTIF(INDIRECT(G$1&amp;"!$a1:$a10000"),汇总!$A23)),G22)</f>
        <v/>
      </c>
      <c r="H23" s="563">
        <f t="array" ref="H23">IFERROR(INDEX(_xlfn._xlws.FILTER(INDIRECT(H$1&amp;"!$E1:$E10000"),INDIRECT(H$1&amp;"!$a1:$a10000")=汇总!$A23),COUNTIF(INDIRECT(H$1&amp;"!$a1:$a10000"),汇总!$A23)),H22)</f>
        <v/>
      </c>
      <c r="I23" s="563">
        <f t="array" ref="I23">IFERROR(INDEX(_xlfn._xlws.FILTER(INDIRECT(I$1&amp;"!$E1:$E10000"),INDIRECT(I$1&amp;"!$a1:$a10000")=汇总!$A23),COUNTIF(INDIRECT(I$1&amp;"!$a1:$a10000"),汇总!$A23)),I22)</f>
        <v/>
      </c>
      <c r="J23" s="563">
        <f t="array" ref="J23">IFERROR(INDEX(_xlfn._xlws.FILTER(INDIRECT(J$1&amp;"!$E1:$E10000"),INDIRECT(J$1&amp;"!$a1:$a10000")=汇总!$A23),COUNTIF(INDIRECT(J$1&amp;"!$a1:$a10000"),汇总!$A23)),J22)</f>
        <v/>
      </c>
      <c r="K23" s="563">
        <f t="array" ref="K23">IFERROR(INDEX(_xlfn._xlws.FILTER(INDIRECT(K$1&amp;"!$E1:$E10000"),INDIRECT(K$1&amp;"!$a1:$a10000")=汇总!$A23),COUNTIF(INDIRECT(K$1&amp;"!$a1:$a10000"),汇总!$A23)),K22)</f>
        <v/>
      </c>
      <c r="L23" s="563">
        <f t="array" ref="L23">IFERROR(INDEX(_xlfn._xlws.FILTER(INDIRECT(L$1&amp;"!$E1:$E10000"),INDIRECT(L$1&amp;"!$a1:$a10000")=汇总!$A23),COUNTIF(INDIRECT(L$1&amp;"!$a1:$a10000"),汇总!$A23)),L22)</f>
        <v/>
      </c>
      <c r="M23" s="563">
        <f t="array" ref="M23">IFERROR(INDEX(_xlfn._xlws.FILTER(INDIRECT(M$1&amp;"!$E1:$E10000"),INDIRECT(M$1&amp;"!$a1:$a10000")=汇总!$A23),COUNTIF(INDIRECT(M$1&amp;"!$a1:$a10000"),汇总!$A23)),M22)</f>
        <v/>
      </c>
      <c r="N23" s="563">
        <f t="array" ref="N23">IFERROR(INDEX(_xlfn._xlws.FILTER(INDIRECT(N$1&amp;"!$E1:$E10000"),INDIRECT(N$1&amp;"!$a1:$a10000")=汇总!$A23),COUNTIF(INDIRECT(N$1&amp;"!$a1:$a10000"),汇总!$A23)),N22)</f>
        <v/>
      </c>
      <c r="O23" s="563">
        <f t="array" ref="O23">IFERROR(INDEX(_xlfn._xlws.FILTER(INDIRECT(O$1&amp;"!$E1:$E10000"),INDIRECT(O$1&amp;"!$a1:$a10000")=汇总!$A23),COUNTIF(INDIRECT(O$1&amp;"!$a1:$a10000"),汇总!$A23)),O22)</f>
        <v/>
      </c>
      <c r="P23" s="563">
        <f t="array" ref="P23">IFERROR(INDEX(_xlfn._xlws.FILTER(INDIRECT(P$1&amp;"!$E1:$E10000"),INDIRECT(P$1&amp;"!$a1:$a10000")=汇总!$A23),COUNTIF(INDIRECT(P$1&amp;"!$a1:$a10000"),汇总!$A23)),P22)</f>
        <v/>
      </c>
      <c r="Q23" s="563">
        <f t="array" ref="Q23">IFERROR(INDEX(_xlfn._xlws.FILTER(INDIRECT(Q$1&amp;"!$E1:$E10000"),INDIRECT(Q$1&amp;"!$a1:$a10000")=汇总!$A23),COUNTIF(INDIRECT(Q$1&amp;"!$a1:$a10000"),汇总!$A23)),Q22)</f>
        <v/>
      </c>
      <c r="R23" s="563">
        <f t="array" ref="R23">IFERROR(INDEX(_xlfn._xlws.FILTER(INDIRECT(R$1&amp;"!$E1:$E10000"),INDIRECT(R$1&amp;"!$a1:$a10000")=汇总!$A23),COUNTIF(INDIRECT(R$1&amp;"!$a1:$a10000"),汇总!$A23)),R22)</f>
        <v/>
      </c>
      <c r="S23" s="563">
        <f t="array" ref="S23">IFERROR(INDEX(_xlfn._xlws.FILTER(INDIRECT(S$1&amp;"!$E1:$E10000"),INDIRECT(S$1&amp;"!$a1:$a10000")=汇总!$A23),COUNTIF(INDIRECT(S$1&amp;"!$a1:$a10000"),汇总!$A23)),S22)</f>
        <v/>
      </c>
    </row>
    <row r="24" hidden="1" s="326">
      <c r="A24" s="1">
        <f>+A23+1</f>
        <v/>
      </c>
      <c r="B24" s="563">
        <f t="array" ref="B24">IFERROR(INDEX(_xlfn._xlws.FILTER(INDIRECT(B$1&amp;"!$E1:$E10000"),INDIRECT(B$1&amp;"!$a1:$a10000")=汇总!$A24),COUNTIF(INDIRECT(B$1&amp;"!$a1:$a10000"),汇总!$A24)),B23)</f>
        <v/>
      </c>
      <c r="C24" s="563">
        <f t="array" ref="C24">IFERROR(INDEX(_xlfn._xlws.FILTER(INDIRECT(C$1&amp;"!$E1:$E10000"),INDIRECT(C$1&amp;"!$a1:$a10000")=汇总!$A24),COUNTIF(INDIRECT(C$1&amp;"!$a1:$a10000"),汇总!$A24)),C23)</f>
        <v/>
      </c>
      <c r="D24" s="563">
        <f t="array" ref="D24">IFERROR(INDEX(_xlfn._xlws.FILTER(INDIRECT(D$1&amp;"!$E1:$E10000"),INDIRECT(D$1&amp;"!$a1:$a10000")=汇总!$A24),COUNTIF(INDIRECT(D$1&amp;"!$a1:$a10000"),汇总!$A24)),D23)</f>
        <v/>
      </c>
      <c r="E24" s="563">
        <f t="array" ref="E24">IFERROR(INDEX(_xlfn._xlws.FILTER(INDIRECT(E$1&amp;"!$E1:$E10000"),INDIRECT(E$1&amp;"!$a1:$a10000")=汇总!$A24),COUNTIF(INDIRECT(E$1&amp;"!$a1:$a10000"),汇总!$A24)),E23)</f>
        <v/>
      </c>
      <c r="F24" s="563">
        <f t="array" ref="F24">IFERROR(INDEX(_xlfn._xlws.FILTER(INDIRECT(F$1&amp;"!$E1:$E10000"),INDIRECT(F$1&amp;"!$a1:$a10000")=汇总!$A24),COUNTIF(INDIRECT(F$1&amp;"!$a1:$a10000"),汇总!$A24)),F23)</f>
        <v/>
      </c>
      <c r="G24" s="563">
        <f t="array" ref="G24">IFERROR(INDEX(_xlfn._xlws.FILTER(INDIRECT(G$1&amp;"!$E1:$E10000"),INDIRECT(G$1&amp;"!$a1:$a10000")=汇总!$A24),COUNTIF(INDIRECT(G$1&amp;"!$a1:$a10000"),汇总!$A24)),G23)</f>
        <v/>
      </c>
      <c r="H24" s="563">
        <f t="array" ref="H24">IFERROR(INDEX(_xlfn._xlws.FILTER(INDIRECT(H$1&amp;"!$E1:$E10000"),INDIRECT(H$1&amp;"!$a1:$a10000")=汇总!$A24),COUNTIF(INDIRECT(H$1&amp;"!$a1:$a10000"),汇总!$A24)),H23)</f>
        <v/>
      </c>
      <c r="I24" s="563">
        <f t="array" ref="I24">IFERROR(INDEX(_xlfn._xlws.FILTER(INDIRECT(I$1&amp;"!$E1:$E10000"),INDIRECT(I$1&amp;"!$a1:$a10000")=汇总!$A24),COUNTIF(INDIRECT(I$1&amp;"!$a1:$a10000"),汇总!$A24)),I23)</f>
        <v/>
      </c>
      <c r="J24" s="563">
        <f t="array" ref="J24">IFERROR(INDEX(_xlfn._xlws.FILTER(INDIRECT(J$1&amp;"!$E1:$E10000"),INDIRECT(J$1&amp;"!$a1:$a10000")=汇总!$A24),COUNTIF(INDIRECT(J$1&amp;"!$a1:$a10000"),汇总!$A24)),J23)</f>
        <v/>
      </c>
      <c r="K24" s="563">
        <f t="array" ref="K24">IFERROR(INDEX(_xlfn._xlws.FILTER(INDIRECT(K$1&amp;"!$E1:$E10000"),INDIRECT(K$1&amp;"!$a1:$a10000")=汇总!$A24),COUNTIF(INDIRECT(K$1&amp;"!$a1:$a10000"),汇总!$A24)),K23)</f>
        <v/>
      </c>
      <c r="L24" s="563">
        <f t="array" ref="L24">IFERROR(INDEX(_xlfn._xlws.FILTER(INDIRECT(L$1&amp;"!$E1:$E10000"),INDIRECT(L$1&amp;"!$a1:$a10000")=汇总!$A24),COUNTIF(INDIRECT(L$1&amp;"!$a1:$a10000"),汇总!$A24)),L23)</f>
        <v/>
      </c>
      <c r="M24" s="563">
        <f t="array" ref="M24">IFERROR(INDEX(_xlfn._xlws.FILTER(INDIRECT(M$1&amp;"!$E1:$E10000"),INDIRECT(M$1&amp;"!$a1:$a10000")=汇总!$A24),COUNTIF(INDIRECT(M$1&amp;"!$a1:$a10000"),汇总!$A24)),M23)</f>
        <v/>
      </c>
      <c r="N24" s="563">
        <f t="array" ref="N24">IFERROR(INDEX(_xlfn._xlws.FILTER(INDIRECT(N$1&amp;"!$E1:$E10000"),INDIRECT(N$1&amp;"!$a1:$a10000")=汇总!$A24),COUNTIF(INDIRECT(N$1&amp;"!$a1:$a10000"),汇总!$A24)),N23)</f>
        <v/>
      </c>
      <c r="O24" s="563">
        <f t="array" ref="O24">IFERROR(INDEX(_xlfn._xlws.FILTER(INDIRECT(O$1&amp;"!$E1:$E10000"),INDIRECT(O$1&amp;"!$a1:$a10000")=汇总!$A24),COUNTIF(INDIRECT(O$1&amp;"!$a1:$a10000"),汇总!$A24)),O23)</f>
        <v/>
      </c>
      <c r="P24" s="563">
        <f t="array" ref="P24">IFERROR(INDEX(_xlfn._xlws.FILTER(INDIRECT(P$1&amp;"!$E1:$E10000"),INDIRECT(P$1&amp;"!$a1:$a10000")=汇总!$A24),COUNTIF(INDIRECT(P$1&amp;"!$a1:$a10000"),汇总!$A24)),P23)</f>
        <v/>
      </c>
      <c r="Q24" s="563">
        <f t="array" ref="Q24">IFERROR(INDEX(_xlfn._xlws.FILTER(INDIRECT(Q$1&amp;"!$E1:$E10000"),INDIRECT(Q$1&amp;"!$a1:$a10000")=汇总!$A24),COUNTIF(INDIRECT(Q$1&amp;"!$a1:$a10000"),汇总!$A24)),Q23)</f>
        <v/>
      </c>
      <c r="R24" s="563">
        <f t="array" ref="R24">IFERROR(INDEX(_xlfn._xlws.FILTER(INDIRECT(R$1&amp;"!$E1:$E10000"),INDIRECT(R$1&amp;"!$a1:$a10000")=汇总!$A24),COUNTIF(INDIRECT(R$1&amp;"!$a1:$a10000"),汇总!$A24)),R23)</f>
        <v/>
      </c>
      <c r="S24" s="563">
        <f t="array" ref="S24">IFERROR(INDEX(_xlfn._xlws.FILTER(INDIRECT(S$1&amp;"!$E1:$E10000"),INDIRECT(S$1&amp;"!$a1:$a10000")=汇总!$A24),COUNTIF(INDIRECT(S$1&amp;"!$a1:$a10000"),汇总!$A24)),S23)</f>
        <v/>
      </c>
    </row>
    <row r="25" hidden="1" s="326">
      <c r="A25" s="1">
        <f>+A24+1</f>
        <v/>
      </c>
      <c r="B25" s="563">
        <f t="array" ref="B25">IFERROR(INDEX(_xlfn._xlws.FILTER(INDIRECT(B$1&amp;"!$E1:$E10000"),INDIRECT(B$1&amp;"!$a1:$a10000")=汇总!$A25),COUNTIF(INDIRECT(B$1&amp;"!$a1:$a10000"),汇总!$A25)),B24)</f>
        <v/>
      </c>
      <c r="C25" s="563">
        <f t="array" ref="C25">IFERROR(INDEX(_xlfn._xlws.FILTER(INDIRECT(C$1&amp;"!$E1:$E10000"),INDIRECT(C$1&amp;"!$a1:$a10000")=汇总!$A25),COUNTIF(INDIRECT(C$1&amp;"!$a1:$a10000"),汇总!$A25)),C24)</f>
        <v/>
      </c>
      <c r="D25" s="563">
        <f t="array" ref="D25">IFERROR(INDEX(_xlfn._xlws.FILTER(INDIRECT(D$1&amp;"!$E1:$E10000"),INDIRECT(D$1&amp;"!$a1:$a10000")=汇总!$A25),COUNTIF(INDIRECT(D$1&amp;"!$a1:$a10000"),汇总!$A25)),D24)</f>
        <v/>
      </c>
      <c r="E25" s="563">
        <f t="array" ref="E25">IFERROR(INDEX(_xlfn._xlws.FILTER(INDIRECT(E$1&amp;"!$E1:$E10000"),INDIRECT(E$1&amp;"!$a1:$a10000")=汇总!$A25),COUNTIF(INDIRECT(E$1&amp;"!$a1:$a10000"),汇总!$A25)),E24)</f>
        <v/>
      </c>
      <c r="F25" s="563">
        <f t="array" ref="F25">IFERROR(INDEX(_xlfn._xlws.FILTER(INDIRECT(F$1&amp;"!$E1:$E10000"),INDIRECT(F$1&amp;"!$a1:$a10000")=汇总!$A25),COUNTIF(INDIRECT(F$1&amp;"!$a1:$a10000"),汇总!$A25)),F24)</f>
        <v/>
      </c>
      <c r="G25" s="563">
        <f t="array" ref="G25">IFERROR(INDEX(_xlfn._xlws.FILTER(INDIRECT(G$1&amp;"!$E1:$E10000"),INDIRECT(G$1&amp;"!$a1:$a10000")=汇总!$A25),COUNTIF(INDIRECT(G$1&amp;"!$a1:$a10000"),汇总!$A25)),G24)</f>
        <v/>
      </c>
      <c r="H25" s="563">
        <f t="array" ref="H25">IFERROR(INDEX(_xlfn._xlws.FILTER(INDIRECT(H$1&amp;"!$E1:$E10000"),INDIRECT(H$1&amp;"!$a1:$a10000")=汇总!$A25),COUNTIF(INDIRECT(H$1&amp;"!$a1:$a10000"),汇总!$A25)),H24)</f>
        <v/>
      </c>
      <c r="I25" s="563">
        <f t="array" ref="I25">IFERROR(INDEX(_xlfn._xlws.FILTER(INDIRECT(I$1&amp;"!$E1:$E10000"),INDIRECT(I$1&amp;"!$a1:$a10000")=汇总!$A25),COUNTIF(INDIRECT(I$1&amp;"!$a1:$a10000"),汇总!$A25)),I24)</f>
        <v/>
      </c>
      <c r="J25" s="563">
        <f t="array" ref="J25">IFERROR(INDEX(_xlfn._xlws.FILTER(INDIRECT(J$1&amp;"!$E1:$E10000"),INDIRECT(J$1&amp;"!$a1:$a10000")=汇总!$A25),COUNTIF(INDIRECT(J$1&amp;"!$a1:$a10000"),汇总!$A25)),J24)</f>
        <v/>
      </c>
      <c r="K25" s="563">
        <f t="array" ref="K25">IFERROR(INDEX(_xlfn._xlws.FILTER(INDIRECT(K$1&amp;"!$E1:$E10000"),INDIRECT(K$1&amp;"!$a1:$a10000")=汇总!$A25),COUNTIF(INDIRECT(K$1&amp;"!$a1:$a10000"),汇总!$A25)),K24)</f>
        <v/>
      </c>
      <c r="L25" s="563">
        <f t="array" ref="L25">IFERROR(INDEX(_xlfn._xlws.FILTER(INDIRECT(L$1&amp;"!$E1:$E10000"),INDIRECT(L$1&amp;"!$a1:$a10000")=汇总!$A25),COUNTIF(INDIRECT(L$1&amp;"!$a1:$a10000"),汇总!$A25)),L24)</f>
        <v/>
      </c>
      <c r="M25" s="563">
        <f t="array" ref="M25">IFERROR(INDEX(_xlfn._xlws.FILTER(INDIRECT(M$1&amp;"!$E1:$E10000"),INDIRECT(M$1&amp;"!$a1:$a10000")=汇总!$A25),COUNTIF(INDIRECT(M$1&amp;"!$a1:$a10000"),汇总!$A25)),M24)</f>
        <v/>
      </c>
      <c r="N25" s="563">
        <f t="array" ref="N25">IFERROR(INDEX(_xlfn._xlws.FILTER(INDIRECT(N$1&amp;"!$E1:$E10000"),INDIRECT(N$1&amp;"!$a1:$a10000")=汇总!$A25),COUNTIF(INDIRECT(N$1&amp;"!$a1:$a10000"),汇总!$A25)),N24)</f>
        <v/>
      </c>
      <c r="O25" s="563">
        <f t="array" ref="O25">IFERROR(INDEX(_xlfn._xlws.FILTER(INDIRECT(O$1&amp;"!$E1:$E10000"),INDIRECT(O$1&amp;"!$a1:$a10000")=汇总!$A25),COUNTIF(INDIRECT(O$1&amp;"!$a1:$a10000"),汇总!$A25)),O24)</f>
        <v/>
      </c>
      <c r="P25" s="563">
        <f t="array" ref="P25">IFERROR(INDEX(_xlfn._xlws.FILTER(INDIRECT(P$1&amp;"!$E1:$E10000"),INDIRECT(P$1&amp;"!$a1:$a10000")=汇总!$A25),COUNTIF(INDIRECT(P$1&amp;"!$a1:$a10000"),汇总!$A25)),P24)</f>
        <v/>
      </c>
      <c r="Q25" s="563">
        <f t="array" ref="Q25">IFERROR(INDEX(_xlfn._xlws.FILTER(INDIRECT(Q$1&amp;"!$E1:$E10000"),INDIRECT(Q$1&amp;"!$a1:$a10000")=汇总!$A25),COUNTIF(INDIRECT(Q$1&amp;"!$a1:$a10000"),汇总!$A25)),Q24)</f>
        <v/>
      </c>
      <c r="R25" s="563">
        <f t="array" ref="R25">IFERROR(INDEX(_xlfn._xlws.FILTER(INDIRECT(R$1&amp;"!$E1:$E10000"),INDIRECT(R$1&amp;"!$a1:$a10000")=汇总!$A25),COUNTIF(INDIRECT(R$1&amp;"!$a1:$a10000"),汇总!$A25)),R24)</f>
        <v/>
      </c>
      <c r="S25" s="563">
        <f t="array" ref="S25">IFERROR(INDEX(_xlfn._xlws.FILTER(INDIRECT(S$1&amp;"!$E1:$E10000"),INDIRECT(S$1&amp;"!$a1:$a10000")=汇总!$A25),COUNTIF(INDIRECT(S$1&amp;"!$a1:$a10000"),汇总!$A25)),S24)</f>
        <v/>
      </c>
    </row>
    <row r="26" hidden="1" s="326">
      <c r="A26" s="1">
        <f>+A25+1</f>
        <v/>
      </c>
      <c r="B26" s="563">
        <f t="array" ref="B26">IFERROR(INDEX(_xlfn._xlws.FILTER(INDIRECT(B$1&amp;"!$E1:$E10000"),INDIRECT(B$1&amp;"!$a1:$a10000")=汇总!$A26),COUNTIF(INDIRECT(B$1&amp;"!$a1:$a10000"),汇总!$A26)),B25)</f>
        <v/>
      </c>
      <c r="C26" s="563">
        <f t="array" ref="C26">IFERROR(INDEX(_xlfn._xlws.FILTER(INDIRECT(C$1&amp;"!$E1:$E10000"),INDIRECT(C$1&amp;"!$a1:$a10000")=汇总!$A26),COUNTIF(INDIRECT(C$1&amp;"!$a1:$a10000"),汇总!$A26)),C25)</f>
        <v/>
      </c>
      <c r="D26" s="563">
        <f t="array" ref="D26">IFERROR(INDEX(_xlfn._xlws.FILTER(INDIRECT(D$1&amp;"!$E1:$E10000"),INDIRECT(D$1&amp;"!$a1:$a10000")=汇总!$A26),COUNTIF(INDIRECT(D$1&amp;"!$a1:$a10000"),汇总!$A26)),D25)</f>
        <v/>
      </c>
      <c r="E26" s="563">
        <f t="array" ref="E26">IFERROR(INDEX(_xlfn._xlws.FILTER(INDIRECT(E$1&amp;"!$E1:$E10000"),INDIRECT(E$1&amp;"!$a1:$a10000")=汇总!$A26),COUNTIF(INDIRECT(E$1&amp;"!$a1:$a10000"),汇总!$A26)),E25)</f>
        <v/>
      </c>
      <c r="F26" s="563">
        <f t="array" ref="F26">IFERROR(INDEX(_xlfn._xlws.FILTER(INDIRECT(F$1&amp;"!$E1:$E10000"),INDIRECT(F$1&amp;"!$a1:$a10000")=汇总!$A26),COUNTIF(INDIRECT(F$1&amp;"!$a1:$a10000"),汇总!$A26)),F25)</f>
        <v/>
      </c>
      <c r="G26" s="563">
        <f t="array" ref="G26">IFERROR(INDEX(_xlfn._xlws.FILTER(INDIRECT(G$1&amp;"!$E1:$E10000"),INDIRECT(G$1&amp;"!$a1:$a10000")=汇总!$A26),COUNTIF(INDIRECT(G$1&amp;"!$a1:$a10000"),汇总!$A26)),G25)</f>
        <v/>
      </c>
      <c r="H26" s="563">
        <f t="array" ref="H26">IFERROR(INDEX(_xlfn._xlws.FILTER(INDIRECT(H$1&amp;"!$E1:$E10000"),INDIRECT(H$1&amp;"!$a1:$a10000")=汇总!$A26),COUNTIF(INDIRECT(H$1&amp;"!$a1:$a10000"),汇总!$A26)),H25)</f>
        <v/>
      </c>
      <c r="I26" s="563">
        <f t="array" ref="I26">IFERROR(INDEX(_xlfn._xlws.FILTER(INDIRECT(I$1&amp;"!$E1:$E10000"),INDIRECT(I$1&amp;"!$a1:$a10000")=汇总!$A26),COUNTIF(INDIRECT(I$1&amp;"!$a1:$a10000"),汇总!$A26)),I25)</f>
        <v/>
      </c>
      <c r="J26" s="563">
        <f t="array" ref="J26">IFERROR(INDEX(_xlfn._xlws.FILTER(INDIRECT(J$1&amp;"!$E1:$E10000"),INDIRECT(J$1&amp;"!$a1:$a10000")=汇总!$A26),COUNTIF(INDIRECT(J$1&amp;"!$a1:$a10000"),汇总!$A26)),J25)</f>
        <v/>
      </c>
      <c r="K26" s="563">
        <f t="array" ref="K26">IFERROR(INDEX(_xlfn._xlws.FILTER(INDIRECT(K$1&amp;"!$E1:$E10000"),INDIRECT(K$1&amp;"!$a1:$a10000")=汇总!$A26),COUNTIF(INDIRECT(K$1&amp;"!$a1:$a10000"),汇总!$A26)),K25)</f>
        <v/>
      </c>
      <c r="L26" s="563">
        <f t="array" ref="L26">IFERROR(INDEX(_xlfn._xlws.FILTER(INDIRECT(L$1&amp;"!$E1:$E10000"),INDIRECT(L$1&amp;"!$a1:$a10000")=汇总!$A26),COUNTIF(INDIRECT(L$1&amp;"!$a1:$a10000"),汇总!$A26)),L25)</f>
        <v/>
      </c>
      <c r="M26" s="563">
        <f t="array" ref="M26">IFERROR(INDEX(_xlfn._xlws.FILTER(INDIRECT(M$1&amp;"!$E1:$E10000"),INDIRECT(M$1&amp;"!$a1:$a10000")=汇总!$A26),COUNTIF(INDIRECT(M$1&amp;"!$a1:$a10000"),汇总!$A26)),M25)</f>
        <v/>
      </c>
      <c r="N26" s="563">
        <f t="array" ref="N26">IFERROR(INDEX(_xlfn._xlws.FILTER(INDIRECT(N$1&amp;"!$E1:$E10000"),INDIRECT(N$1&amp;"!$a1:$a10000")=汇总!$A26),COUNTIF(INDIRECT(N$1&amp;"!$a1:$a10000"),汇总!$A26)),N25)</f>
        <v/>
      </c>
      <c r="O26" s="563">
        <f t="array" ref="O26">IFERROR(INDEX(_xlfn._xlws.FILTER(INDIRECT(O$1&amp;"!$E1:$E10000"),INDIRECT(O$1&amp;"!$a1:$a10000")=汇总!$A26),COUNTIF(INDIRECT(O$1&amp;"!$a1:$a10000"),汇总!$A26)),O25)</f>
        <v/>
      </c>
      <c r="P26" s="563">
        <f t="array" ref="P26">IFERROR(INDEX(_xlfn._xlws.FILTER(INDIRECT(P$1&amp;"!$E1:$E10000"),INDIRECT(P$1&amp;"!$a1:$a10000")=汇总!$A26),COUNTIF(INDIRECT(P$1&amp;"!$a1:$a10000"),汇总!$A26)),P25)</f>
        <v/>
      </c>
      <c r="Q26" s="563">
        <f t="array" ref="Q26">IFERROR(INDEX(_xlfn._xlws.FILTER(INDIRECT(Q$1&amp;"!$E1:$E10000"),INDIRECT(Q$1&amp;"!$a1:$a10000")=汇总!$A26),COUNTIF(INDIRECT(Q$1&amp;"!$a1:$a10000"),汇总!$A26)),Q25)</f>
        <v/>
      </c>
      <c r="R26" s="563">
        <f t="array" ref="R26">IFERROR(INDEX(_xlfn._xlws.FILTER(INDIRECT(R$1&amp;"!$E1:$E10000"),INDIRECT(R$1&amp;"!$a1:$a10000")=汇总!$A26),COUNTIF(INDIRECT(R$1&amp;"!$a1:$a10000"),汇总!$A26)),R25)</f>
        <v/>
      </c>
      <c r="S26" s="563">
        <f t="array" ref="S26">IFERROR(INDEX(_xlfn._xlws.FILTER(INDIRECT(S$1&amp;"!$E1:$E10000"),INDIRECT(S$1&amp;"!$a1:$a10000")=汇总!$A26),COUNTIF(INDIRECT(S$1&amp;"!$a1:$a10000"),汇总!$A26)),S25)</f>
        <v/>
      </c>
    </row>
    <row r="27" hidden="1" s="326">
      <c r="A27" s="1">
        <f>+A26+1</f>
        <v/>
      </c>
      <c r="B27" s="563">
        <f t="array" ref="B27">IFERROR(INDEX(_xlfn._xlws.FILTER(INDIRECT(B$1&amp;"!$E1:$E10000"),INDIRECT(B$1&amp;"!$a1:$a10000")=汇总!$A27),COUNTIF(INDIRECT(B$1&amp;"!$a1:$a10000"),汇总!$A27)),B26)</f>
        <v/>
      </c>
      <c r="C27" s="563">
        <f t="array" ref="C27">IFERROR(INDEX(_xlfn._xlws.FILTER(INDIRECT(C$1&amp;"!$E1:$E10000"),INDIRECT(C$1&amp;"!$a1:$a10000")=汇总!$A27),COUNTIF(INDIRECT(C$1&amp;"!$a1:$a10000"),汇总!$A27)),C26)</f>
        <v/>
      </c>
      <c r="D27" s="563">
        <f t="array" ref="D27">IFERROR(INDEX(_xlfn._xlws.FILTER(INDIRECT(D$1&amp;"!$E1:$E10000"),INDIRECT(D$1&amp;"!$a1:$a10000")=汇总!$A27),COUNTIF(INDIRECT(D$1&amp;"!$a1:$a10000"),汇总!$A27)),D26)</f>
        <v/>
      </c>
      <c r="E27" s="563">
        <f t="array" ref="E27">IFERROR(INDEX(_xlfn._xlws.FILTER(INDIRECT(E$1&amp;"!$E1:$E10000"),INDIRECT(E$1&amp;"!$a1:$a10000")=汇总!$A27),COUNTIF(INDIRECT(E$1&amp;"!$a1:$a10000"),汇总!$A27)),E26)</f>
        <v/>
      </c>
      <c r="F27" s="563">
        <f t="array" ref="F27">IFERROR(INDEX(_xlfn._xlws.FILTER(INDIRECT(F$1&amp;"!$E1:$E10000"),INDIRECT(F$1&amp;"!$a1:$a10000")=汇总!$A27),COUNTIF(INDIRECT(F$1&amp;"!$a1:$a10000"),汇总!$A27)),F26)</f>
        <v/>
      </c>
      <c r="G27" s="563">
        <f t="array" ref="G27">IFERROR(INDEX(_xlfn._xlws.FILTER(INDIRECT(G$1&amp;"!$E1:$E10000"),INDIRECT(G$1&amp;"!$a1:$a10000")=汇总!$A27),COUNTIF(INDIRECT(G$1&amp;"!$a1:$a10000"),汇总!$A27)),G26)</f>
        <v/>
      </c>
      <c r="H27" s="563">
        <f t="array" ref="H27">IFERROR(INDEX(_xlfn._xlws.FILTER(INDIRECT(H$1&amp;"!$E1:$E10000"),INDIRECT(H$1&amp;"!$a1:$a10000")=汇总!$A27),COUNTIF(INDIRECT(H$1&amp;"!$a1:$a10000"),汇总!$A27)),H26)</f>
        <v/>
      </c>
      <c r="I27" s="563">
        <f t="array" ref="I27">IFERROR(INDEX(_xlfn._xlws.FILTER(INDIRECT(I$1&amp;"!$E1:$E10000"),INDIRECT(I$1&amp;"!$a1:$a10000")=汇总!$A27),COUNTIF(INDIRECT(I$1&amp;"!$a1:$a10000"),汇总!$A27)),I26)</f>
        <v/>
      </c>
      <c r="J27" s="563">
        <f t="array" ref="J27">IFERROR(INDEX(_xlfn._xlws.FILTER(INDIRECT(J$1&amp;"!$E1:$E10000"),INDIRECT(J$1&amp;"!$a1:$a10000")=汇总!$A27),COUNTIF(INDIRECT(J$1&amp;"!$a1:$a10000"),汇总!$A27)),J26)</f>
        <v/>
      </c>
      <c r="K27" s="563">
        <f t="array" ref="K27">IFERROR(INDEX(_xlfn._xlws.FILTER(INDIRECT(K$1&amp;"!$E1:$E10000"),INDIRECT(K$1&amp;"!$a1:$a10000")=汇总!$A27),COUNTIF(INDIRECT(K$1&amp;"!$a1:$a10000"),汇总!$A27)),K26)</f>
        <v/>
      </c>
      <c r="L27" s="563">
        <f t="array" ref="L27">IFERROR(INDEX(_xlfn._xlws.FILTER(INDIRECT(L$1&amp;"!$E1:$E10000"),INDIRECT(L$1&amp;"!$a1:$a10000")=汇总!$A27),COUNTIF(INDIRECT(L$1&amp;"!$a1:$a10000"),汇总!$A27)),L26)</f>
        <v/>
      </c>
      <c r="M27" s="563">
        <f t="array" ref="M27">IFERROR(INDEX(_xlfn._xlws.FILTER(INDIRECT(M$1&amp;"!$E1:$E10000"),INDIRECT(M$1&amp;"!$a1:$a10000")=汇总!$A27),COUNTIF(INDIRECT(M$1&amp;"!$a1:$a10000"),汇总!$A27)),M26)</f>
        <v/>
      </c>
      <c r="N27" s="563">
        <f t="array" ref="N27">IFERROR(INDEX(_xlfn._xlws.FILTER(INDIRECT(N$1&amp;"!$E1:$E10000"),INDIRECT(N$1&amp;"!$a1:$a10000")=汇总!$A27),COUNTIF(INDIRECT(N$1&amp;"!$a1:$a10000"),汇总!$A27)),N26)</f>
        <v/>
      </c>
      <c r="O27" s="563">
        <f t="array" ref="O27">IFERROR(INDEX(_xlfn._xlws.FILTER(INDIRECT(O$1&amp;"!$E1:$E10000"),INDIRECT(O$1&amp;"!$a1:$a10000")=汇总!$A27),COUNTIF(INDIRECT(O$1&amp;"!$a1:$a10000"),汇总!$A27)),O26)</f>
        <v/>
      </c>
      <c r="P27" s="563">
        <f t="array" ref="P27">IFERROR(INDEX(_xlfn._xlws.FILTER(INDIRECT(P$1&amp;"!$E1:$E10000"),INDIRECT(P$1&amp;"!$a1:$a10000")=汇总!$A27),COUNTIF(INDIRECT(P$1&amp;"!$a1:$a10000"),汇总!$A27)),P26)</f>
        <v/>
      </c>
      <c r="Q27" s="563">
        <f t="array" ref="Q27">IFERROR(INDEX(_xlfn._xlws.FILTER(INDIRECT(Q$1&amp;"!$E1:$E10000"),INDIRECT(Q$1&amp;"!$a1:$a10000")=汇总!$A27),COUNTIF(INDIRECT(Q$1&amp;"!$a1:$a10000"),汇总!$A27)),Q26)</f>
        <v/>
      </c>
      <c r="R27" s="563">
        <f t="array" ref="R27">IFERROR(INDEX(_xlfn._xlws.FILTER(INDIRECT(R$1&amp;"!$E1:$E10000"),INDIRECT(R$1&amp;"!$a1:$a10000")=汇总!$A27),COUNTIF(INDIRECT(R$1&amp;"!$a1:$a10000"),汇总!$A27)),R26)</f>
        <v/>
      </c>
      <c r="S27" s="563">
        <f t="array" ref="S27">IFERROR(INDEX(_xlfn._xlws.FILTER(INDIRECT(S$1&amp;"!$E1:$E10000"),INDIRECT(S$1&amp;"!$a1:$a10000")=汇总!$A27),COUNTIF(INDIRECT(S$1&amp;"!$a1:$a10000"),汇总!$A27)),S26)</f>
        <v/>
      </c>
    </row>
    <row r="28" hidden="1" s="326">
      <c r="A28" s="1">
        <f>+A27+1</f>
        <v/>
      </c>
      <c r="B28" s="563">
        <f t="array" ref="B28">IFERROR(INDEX(_xlfn._xlws.FILTER(INDIRECT(B$1&amp;"!$E1:$E10000"),INDIRECT(B$1&amp;"!$a1:$a10000")=汇总!$A28),COUNTIF(INDIRECT(B$1&amp;"!$a1:$a10000"),汇总!$A28)),B27)</f>
        <v/>
      </c>
      <c r="C28" s="563">
        <f t="array" ref="C28">IFERROR(INDEX(_xlfn._xlws.FILTER(INDIRECT(C$1&amp;"!$E1:$E10000"),INDIRECT(C$1&amp;"!$a1:$a10000")=汇总!$A28),COUNTIF(INDIRECT(C$1&amp;"!$a1:$a10000"),汇总!$A28)),C27)</f>
        <v/>
      </c>
      <c r="D28" s="563">
        <f t="array" ref="D28">IFERROR(INDEX(_xlfn._xlws.FILTER(INDIRECT(D$1&amp;"!$E1:$E10000"),INDIRECT(D$1&amp;"!$a1:$a10000")=汇总!$A28),COUNTIF(INDIRECT(D$1&amp;"!$a1:$a10000"),汇总!$A28)),D27)</f>
        <v/>
      </c>
      <c r="E28" s="563">
        <f t="array" ref="E28">IFERROR(INDEX(_xlfn._xlws.FILTER(INDIRECT(E$1&amp;"!$E1:$E10000"),INDIRECT(E$1&amp;"!$a1:$a10000")=汇总!$A28),COUNTIF(INDIRECT(E$1&amp;"!$a1:$a10000"),汇总!$A28)),E27)</f>
        <v/>
      </c>
      <c r="F28" s="563">
        <f t="array" ref="F28">IFERROR(INDEX(_xlfn._xlws.FILTER(INDIRECT(F$1&amp;"!$E1:$E10000"),INDIRECT(F$1&amp;"!$a1:$a10000")=汇总!$A28),COUNTIF(INDIRECT(F$1&amp;"!$a1:$a10000"),汇总!$A28)),F27)</f>
        <v/>
      </c>
      <c r="G28" s="563">
        <f t="array" ref="G28">IFERROR(INDEX(_xlfn._xlws.FILTER(INDIRECT(G$1&amp;"!$E1:$E10000"),INDIRECT(G$1&amp;"!$a1:$a10000")=汇总!$A28),COUNTIF(INDIRECT(G$1&amp;"!$a1:$a10000"),汇总!$A28)),G27)</f>
        <v/>
      </c>
      <c r="H28" s="563">
        <f t="array" ref="H28">IFERROR(INDEX(_xlfn._xlws.FILTER(INDIRECT(H$1&amp;"!$E1:$E10000"),INDIRECT(H$1&amp;"!$a1:$a10000")=汇总!$A28),COUNTIF(INDIRECT(H$1&amp;"!$a1:$a10000"),汇总!$A28)),H27)</f>
        <v/>
      </c>
      <c r="I28" s="563">
        <f t="array" ref="I28">IFERROR(INDEX(_xlfn._xlws.FILTER(INDIRECT(I$1&amp;"!$E1:$E10000"),INDIRECT(I$1&amp;"!$a1:$a10000")=汇总!$A28),COUNTIF(INDIRECT(I$1&amp;"!$a1:$a10000"),汇总!$A28)),I27)</f>
        <v/>
      </c>
      <c r="J28" s="563">
        <f t="array" ref="J28">IFERROR(INDEX(_xlfn._xlws.FILTER(INDIRECT(J$1&amp;"!$E1:$E10000"),INDIRECT(J$1&amp;"!$a1:$a10000")=汇总!$A28),COUNTIF(INDIRECT(J$1&amp;"!$a1:$a10000"),汇总!$A28)),J27)</f>
        <v/>
      </c>
      <c r="K28" s="563">
        <f t="array" ref="K28">IFERROR(INDEX(_xlfn._xlws.FILTER(INDIRECT(K$1&amp;"!$E1:$E10000"),INDIRECT(K$1&amp;"!$a1:$a10000")=汇总!$A28),COUNTIF(INDIRECT(K$1&amp;"!$a1:$a10000"),汇总!$A28)),K27)</f>
        <v/>
      </c>
      <c r="L28" s="563">
        <f t="array" ref="L28">IFERROR(INDEX(_xlfn._xlws.FILTER(INDIRECT(L$1&amp;"!$E1:$E10000"),INDIRECT(L$1&amp;"!$a1:$a10000")=汇总!$A28),COUNTIF(INDIRECT(L$1&amp;"!$a1:$a10000"),汇总!$A28)),L27)</f>
        <v/>
      </c>
      <c r="M28" s="563">
        <f t="array" ref="M28">IFERROR(INDEX(_xlfn._xlws.FILTER(INDIRECT(M$1&amp;"!$E1:$E10000"),INDIRECT(M$1&amp;"!$a1:$a10000")=汇总!$A28),COUNTIF(INDIRECT(M$1&amp;"!$a1:$a10000"),汇总!$A28)),M27)</f>
        <v/>
      </c>
      <c r="N28" s="563">
        <f t="array" ref="N28">IFERROR(INDEX(_xlfn._xlws.FILTER(INDIRECT(N$1&amp;"!$E1:$E10000"),INDIRECT(N$1&amp;"!$a1:$a10000")=汇总!$A28),COUNTIF(INDIRECT(N$1&amp;"!$a1:$a10000"),汇总!$A28)),N27)</f>
        <v/>
      </c>
      <c r="O28" s="563">
        <f t="array" ref="O28">IFERROR(INDEX(_xlfn._xlws.FILTER(INDIRECT(O$1&amp;"!$E1:$E10000"),INDIRECT(O$1&amp;"!$a1:$a10000")=汇总!$A28),COUNTIF(INDIRECT(O$1&amp;"!$a1:$a10000"),汇总!$A28)),O27)</f>
        <v/>
      </c>
      <c r="P28" s="563">
        <f t="array" ref="P28">IFERROR(INDEX(_xlfn._xlws.FILTER(INDIRECT(P$1&amp;"!$E1:$E10000"),INDIRECT(P$1&amp;"!$a1:$a10000")=汇总!$A28),COUNTIF(INDIRECT(P$1&amp;"!$a1:$a10000"),汇总!$A28)),P27)</f>
        <v/>
      </c>
      <c r="Q28" s="563">
        <f t="array" ref="Q28">IFERROR(INDEX(_xlfn._xlws.FILTER(INDIRECT(Q$1&amp;"!$E1:$E10000"),INDIRECT(Q$1&amp;"!$a1:$a10000")=汇总!$A28),COUNTIF(INDIRECT(Q$1&amp;"!$a1:$a10000"),汇总!$A28)),Q27)</f>
        <v/>
      </c>
      <c r="R28" s="563">
        <f t="array" ref="R28">IFERROR(INDEX(_xlfn._xlws.FILTER(INDIRECT(R$1&amp;"!$E1:$E10000"),INDIRECT(R$1&amp;"!$a1:$a10000")=汇总!$A28),COUNTIF(INDIRECT(R$1&amp;"!$a1:$a10000"),汇总!$A28)),R27)</f>
        <v/>
      </c>
      <c r="S28" s="563">
        <f t="array" ref="S28">IFERROR(INDEX(_xlfn._xlws.FILTER(INDIRECT(S$1&amp;"!$E1:$E10000"),INDIRECT(S$1&amp;"!$a1:$a10000")=汇总!$A28),COUNTIF(INDIRECT(S$1&amp;"!$a1:$a10000"),汇总!$A28)),S27)</f>
        <v/>
      </c>
    </row>
    <row r="29" hidden="1" s="326">
      <c r="A29" s="1">
        <f>+A28+1</f>
        <v/>
      </c>
      <c r="B29" s="563">
        <f t="array" ref="B29">IFERROR(INDEX(_xlfn._xlws.FILTER(INDIRECT(B$1&amp;"!$E1:$E10000"),INDIRECT(B$1&amp;"!$a1:$a10000")=汇总!$A29),COUNTIF(INDIRECT(B$1&amp;"!$a1:$a10000"),汇总!$A29)),B28)</f>
        <v/>
      </c>
      <c r="C29" s="563">
        <f t="array" ref="C29">IFERROR(INDEX(_xlfn._xlws.FILTER(INDIRECT(C$1&amp;"!$E1:$E10000"),INDIRECT(C$1&amp;"!$a1:$a10000")=汇总!$A29),COUNTIF(INDIRECT(C$1&amp;"!$a1:$a10000"),汇总!$A29)),C28)</f>
        <v/>
      </c>
      <c r="D29" s="563">
        <f t="array" ref="D29">IFERROR(INDEX(_xlfn._xlws.FILTER(INDIRECT(D$1&amp;"!$E1:$E10000"),INDIRECT(D$1&amp;"!$a1:$a10000")=汇总!$A29),COUNTIF(INDIRECT(D$1&amp;"!$a1:$a10000"),汇总!$A29)),D28)</f>
        <v/>
      </c>
      <c r="E29" s="563">
        <f t="array" ref="E29">IFERROR(INDEX(_xlfn._xlws.FILTER(INDIRECT(E$1&amp;"!$E1:$E10000"),INDIRECT(E$1&amp;"!$a1:$a10000")=汇总!$A29),COUNTIF(INDIRECT(E$1&amp;"!$a1:$a10000"),汇总!$A29)),E28)</f>
        <v/>
      </c>
      <c r="F29" s="563">
        <f t="array" ref="F29">IFERROR(INDEX(_xlfn._xlws.FILTER(INDIRECT(F$1&amp;"!$E1:$E10000"),INDIRECT(F$1&amp;"!$a1:$a10000")=汇总!$A29),COUNTIF(INDIRECT(F$1&amp;"!$a1:$a10000"),汇总!$A29)),F28)</f>
        <v/>
      </c>
      <c r="G29" s="563">
        <f t="array" ref="G29">IFERROR(INDEX(_xlfn._xlws.FILTER(INDIRECT(G$1&amp;"!$E1:$E10000"),INDIRECT(G$1&amp;"!$a1:$a10000")=汇总!$A29),COUNTIF(INDIRECT(G$1&amp;"!$a1:$a10000"),汇总!$A29)),G28)</f>
        <v/>
      </c>
      <c r="H29" s="563">
        <f t="array" ref="H29">IFERROR(INDEX(_xlfn._xlws.FILTER(INDIRECT(H$1&amp;"!$E1:$E10000"),INDIRECT(H$1&amp;"!$a1:$a10000")=汇总!$A29),COUNTIF(INDIRECT(H$1&amp;"!$a1:$a10000"),汇总!$A29)),H28)</f>
        <v/>
      </c>
      <c r="I29" s="563">
        <f t="array" ref="I29">IFERROR(INDEX(_xlfn._xlws.FILTER(INDIRECT(I$1&amp;"!$E1:$E10000"),INDIRECT(I$1&amp;"!$a1:$a10000")=汇总!$A29),COUNTIF(INDIRECT(I$1&amp;"!$a1:$a10000"),汇总!$A29)),I28)</f>
        <v/>
      </c>
      <c r="J29" s="563">
        <f t="array" ref="J29">IFERROR(INDEX(_xlfn._xlws.FILTER(INDIRECT(J$1&amp;"!$E1:$E10000"),INDIRECT(J$1&amp;"!$a1:$a10000")=汇总!$A29),COUNTIF(INDIRECT(J$1&amp;"!$a1:$a10000"),汇总!$A29)),J28)</f>
        <v/>
      </c>
      <c r="K29" s="563">
        <f t="array" ref="K29">IFERROR(INDEX(_xlfn._xlws.FILTER(INDIRECT(K$1&amp;"!$E1:$E10000"),INDIRECT(K$1&amp;"!$a1:$a10000")=汇总!$A29),COUNTIF(INDIRECT(K$1&amp;"!$a1:$a10000"),汇总!$A29)),K28)</f>
        <v/>
      </c>
      <c r="L29" s="563">
        <f t="array" ref="L29">IFERROR(INDEX(_xlfn._xlws.FILTER(INDIRECT(L$1&amp;"!$E1:$E10000"),INDIRECT(L$1&amp;"!$a1:$a10000")=汇总!$A29),COUNTIF(INDIRECT(L$1&amp;"!$a1:$a10000"),汇总!$A29)),L28)</f>
        <v/>
      </c>
      <c r="M29" s="563">
        <f t="array" ref="M29">IFERROR(INDEX(_xlfn._xlws.FILTER(INDIRECT(M$1&amp;"!$E1:$E10000"),INDIRECT(M$1&amp;"!$a1:$a10000")=汇总!$A29),COUNTIF(INDIRECT(M$1&amp;"!$a1:$a10000"),汇总!$A29)),M28)</f>
        <v/>
      </c>
      <c r="N29" s="563">
        <f t="array" ref="N29">IFERROR(INDEX(_xlfn._xlws.FILTER(INDIRECT(N$1&amp;"!$E1:$E10000"),INDIRECT(N$1&amp;"!$a1:$a10000")=汇总!$A29),COUNTIF(INDIRECT(N$1&amp;"!$a1:$a10000"),汇总!$A29)),N28)</f>
        <v/>
      </c>
      <c r="O29" s="563">
        <f t="array" ref="O29">IFERROR(INDEX(_xlfn._xlws.FILTER(INDIRECT(O$1&amp;"!$E1:$E10000"),INDIRECT(O$1&amp;"!$a1:$a10000")=汇总!$A29),COUNTIF(INDIRECT(O$1&amp;"!$a1:$a10000"),汇总!$A29)),O28)</f>
        <v/>
      </c>
      <c r="P29" s="563">
        <f t="array" ref="P29">IFERROR(INDEX(_xlfn._xlws.FILTER(INDIRECT(P$1&amp;"!$E1:$E10000"),INDIRECT(P$1&amp;"!$a1:$a10000")=汇总!$A29),COUNTIF(INDIRECT(P$1&amp;"!$a1:$a10000"),汇总!$A29)),P28)</f>
        <v/>
      </c>
      <c r="Q29" s="563">
        <f t="array" ref="Q29">IFERROR(INDEX(_xlfn._xlws.FILTER(INDIRECT(Q$1&amp;"!$E1:$E10000"),INDIRECT(Q$1&amp;"!$a1:$a10000")=汇总!$A29),COUNTIF(INDIRECT(Q$1&amp;"!$a1:$a10000"),汇总!$A29)),Q28)</f>
        <v/>
      </c>
      <c r="R29" s="563">
        <f t="array" ref="R29">IFERROR(INDEX(_xlfn._xlws.FILTER(INDIRECT(R$1&amp;"!$E1:$E10000"),INDIRECT(R$1&amp;"!$a1:$a10000")=汇总!$A29),COUNTIF(INDIRECT(R$1&amp;"!$a1:$a10000"),汇总!$A29)),R28)</f>
        <v/>
      </c>
      <c r="S29" s="563">
        <f t="array" ref="S29">IFERROR(INDEX(_xlfn._xlws.FILTER(INDIRECT(S$1&amp;"!$E1:$E10000"),INDIRECT(S$1&amp;"!$a1:$a10000")=汇总!$A29),COUNTIF(INDIRECT(S$1&amp;"!$a1:$a10000"),汇总!$A29)),S28)</f>
        <v/>
      </c>
    </row>
    <row r="30" hidden="1" s="326">
      <c r="A30" s="1">
        <f>+A29+1</f>
        <v/>
      </c>
      <c r="B30" s="563">
        <f t="array" ref="B30">IFERROR(INDEX(_xlfn._xlws.FILTER(INDIRECT(B$1&amp;"!$E1:$E10000"),INDIRECT(B$1&amp;"!$a1:$a10000")=汇总!$A30),COUNTIF(INDIRECT(B$1&amp;"!$a1:$a10000"),汇总!$A30)),B29)</f>
        <v/>
      </c>
      <c r="C30" s="563">
        <f t="array" ref="C30">IFERROR(INDEX(_xlfn._xlws.FILTER(INDIRECT(C$1&amp;"!$E1:$E10000"),INDIRECT(C$1&amp;"!$a1:$a10000")=汇总!$A30),COUNTIF(INDIRECT(C$1&amp;"!$a1:$a10000"),汇总!$A30)),C29)</f>
        <v/>
      </c>
      <c r="D30" s="563">
        <f t="array" ref="D30">IFERROR(INDEX(_xlfn._xlws.FILTER(INDIRECT(D$1&amp;"!$E1:$E10000"),INDIRECT(D$1&amp;"!$a1:$a10000")=汇总!$A30),COUNTIF(INDIRECT(D$1&amp;"!$a1:$a10000"),汇总!$A30)),D29)</f>
        <v/>
      </c>
      <c r="E30" s="563">
        <f t="array" ref="E30">IFERROR(INDEX(_xlfn._xlws.FILTER(INDIRECT(E$1&amp;"!$E1:$E10000"),INDIRECT(E$1&amp;"!$a1:$a10000")=汇总!$A30),COUNTIF(INDIRECT(E$1&amp;"!$a1:$a10000"),汇总!$A30)),E29)</f>
        <v/>
      </c>
      <c r="F30" s="563">
        <f t="array" ref="F30">IFERROR(INDEX(_xlfn._xlws.FILTER(INDIRECT(F$1&amp;"!$E1:$E10000"),INDIRECT(F$1&amp;"!$a1:$a10000")=汇总!$A30),COUNTIF(INDIRECT(F$1&amp;"!$a1:$a10000"),汇总!$A30)),F29)</f>
        <v/>
      </c>
      <c r="G30" s="563">
        <f t="array" ref="G30">IFERROR(INDEX(_xlfn._xlws.FILTER(INDIRECT(G$1&amp;"!$E1:$E10000"),INDIRECT(G$1&amp;"!$a1:$a10000")=汇总!$A30),COUNTIF(INDIRECT(G$1&amp;"!$a1:$a10000"),汇总!$A30)),G29)</f>
        <v/>
      </c>
      <c r="H30" s="563">
        <f t="array" ref="H30">IFERROR(INDEX(_xlfn._xlws.FILTER(INDIRECT(H$1&amp;"!$E1:$E10000"),INDIRECT(H$1&amp;"!$a1:$a10000")=汇总!$A30),COUNTIF(INDIRECT(H$1&amp;"!$a1:$a10000"),汇总!$A30)),H29)</f>
        <v/>
      </c>
      <c r="I30" s="563">
        <f t="array" ref="I30">IFERROR(INDEX(_xlfn._xlws.FILTER(INDIRECT(I$1&amp;"!$E1:$E10000"),INDIRECT(I$1&amp;"!$a1:$a10000")=汇总!$A30),COUNTIF(INDIRECT(I$1&amp;"!$a1:$a10000"),汇总!$A30)),I29)</f>
        <v/>
      </c>
      <c r="J30" s="563">
        <f t="array" ref="J30">IFERROR(INDEX(_xlfn._xlws.FILTER(INDIRECT(J$1&amp;"!$E1:$E10000"),INDIRECT(J$1&amp;"!$a1:$a10000")=汇总!$A30),COUNTIF(INDIRECT(J$1&amp;"!$a1:$a10000"),汇总!$A30)),J29)</f>
        <v/>
      </c>
      <c r="K30" s="563">
        <f t="array" ref="K30">IFERROR(INDEX(_xlfn._xlws.FILTER(INDIRECT(K$1&amp;"!$E1:$E10000"),INDIRECT(K$1&amp;"!$a1:$a10000")=汇总!$A30),COUNTIF(INDIRECT(K$1&amp;"!$a1:$a10000"),汇总!$A30)),K29)</f>
        <v/>
      </c>
      <c r="L30" s="563">
        <f t="array" ref="L30">IFERROR(INDEX(_xlfn._xlws.FILTER(INDIRECT(L$1&amp;"!$E1:$E10000"),INDIRECT(L$1&amp;"!$a1:$a10000")=汇总!$A30),COUNTIF(INDIRECT(L$1&amp;"!$a1:$a10000"),汇总!$A30)),L29)</f>
        <v/>
      </c>
      <c r="M30" s="563">
        <f t="array" ref="M30">IFERROR(INDEX(_xlfn._xlws.FILTER(INDIRECT(M$1&amp;"!$E1:$E10000"),INDIRECT(M$1&amp;"!$a1:$a10000")=汇总!$A30),COUNTIF(INDIRECT(M$1&amp;"!$a1:$a10000"),汇总!$A30)),M29)</f>
        <v/>
      </c>
      <c r="N30" s="563">
        <f t="array" ref="N30">IFERROR(INDEX(_xlfn._xlws.FILTER(INDIRECT(N$1&amp;"!$E1:$E10000"),INDIRECT(N$1&amp;"!$a1:$a10000")=汇总!$A30),COUNTIF(INDIRECT(N$1&amp;"!$a1:$a10000"),汇总!$A30)),N29)</f>
        <v/>
      </c>
      <c r="O30" s="563">
        <f t="array" ref="O30">IFERROR(INDEX(_xlfn._xlws.FILTER(INDIRECT(O$1&amp;"!$E1:$E10000"),INDIRECT(O$1&amp;"!$a1:$a10000")=汇总!$A30),COUNTIF(INDIRECT(O$1&amp;"!$a1:$a10000"),汇总!$A30)),O29)</f>
        <v/>
      </c>
      <c r="P30" s="563">
        <f t="array" ref="P30">IFERROR(INDEX(_xlfn._xlws.FILTER(INDIRECT(P$1&amp;"!$E1:$E10000"),INDIRECT(P$1&amp;"!$a1:$a10000")=汇总!$A30),COUNTIF(INDIRECT(P$1&amp;"!$a1:$a10000"),汇总!$A30)),P29)</f>
        <v/>
      </c>
      <c r="Q30" s="563">
        <f t="array" ref="Q30">IFERROR(INDEX(_xlfn._xlws.FILTER(INDIRECT(Q$1&amp;"!$E1:$E10000"),INDIRECT(Q$1&amp;"!$a1:$a10000")=汇总!$A30),COUNTIF(INDIRECT(Q$1&amp;"!$a1:$a10000"),汇总!$A30)),Q29)</f>
        <v/>
      </c>
      <c r="R30" s="563">
        <f t="array" ref="R30">IFERROR(INDEX(_xlfn._xlws.FILTER(INDIRECT(R$1&amp;"!$E1:$E10000"),INDIRECT(R$1&amp;"!$a1:$a10000")=汇总!$A30),COUNTIF(INDIRECT(R$1&amp;"!$a1:$a10000"),汇总!$A30)),R29)</f>
        <v/>
      </c>
      <c r="S30" s="563">
        <f t="array" ref="S30">IFERROR(INDEX(_xlfn._xlws.FILTER(INDIRECT(S$1&amp;"!$E1:$E10000"),INDIRECT(S$1&amp;"!$a1:$a10000")=汇总!$A30),COUNTIF(INDIRECT(S$1&amp;"!$a1:$a10000"),汇总!$A30)),S29)</f>
        <v/>
      </c>
    </row>
    <row r="31" hidden="1" s="326">
      <c r="A31" s="1">
        <f>+A30+1</f>
        <v/>
      </c>
      <c r="B31" s="563">
        <f t="array" ref="B31">IFERROR(INDEX(_xlfn._xlws.FILTER(INDIRECT(B$1&amp;"!$E1:$E10000"),INDIRECT(B$1&amp;"!$a1:$a10000")=汇总!$A31),COUNTIF(INDIRECT(B$1&amp;"!$a1:$a10000"),汇总!$A31)),B30)</f>
        <v/>
      </c>
      <c r="C31" s="563">
        <f t="array" ref="C31">IFERROR(INDEX(_xlfn._xlws.FILTER(INDIRECT(C$1&amp;"!$E1:$E10000"),INDIRECT(C$1&amp;"!$a1:$a10000")=汇总!$A31),COUNTIF(INDIRECT(C$1&amp;"!$a1:$a10000"),汇总!$A31)),C30)</f>
        <v/>
      </c>
      <c r="D31" s="563">
        <f t="array" ref="D31">IFERROR(INDEX(_xlfn._xlws.FILTER(INDIRECT(D$1&amp;"!$E1:$E10000"),INDIRECT(D$1&amp;"!$a1:$a10000")=汇总!$A31),COUNTIF(INDIRECT(D$1&amp;"!$a1:$a10000"),汇总!$A31)),D30)</f>
        <v/>
      </c>
      <c r="E31" s="563">
        <f t="array" ref="E31">IFERROR(INDEX(_xlfn._xlws.FILTER(INDIRECT(E$1&amp;"!$E1:$E10000"),INDIRECT(E$1&amp;"!$a1:$a10000")=汇总!$A31),COUNTIF(INDIRECT(E$1&amp;"!$a1:$a10000"),汇总!$A31)),E30)</f>
        <v/>
      </c>
      <c r="F31" s="563">
        <f t="array" ref="F31">IFERROR(INDEX(_xlfn._xlws.FILTER(INDIRECT(F$1&amp;"!$E1:$E10000"),INDIRECT(F$1&amp;"!$a1:$a10000")=汇总!$A31),COUNTIF(INDIRECT(F$1&amp;"!$a1:$a10000"),汇总!$A31)),F30)</f>
        <v/>
      </c>
      <c r="G31" s="563">
        <f t="array" ref="G31">IFERROR(INDEX(_xlfn._xlws.FILTER(INDIRECT(G$1&amp;"!$E1:$E10000"),INDIRECT(G$1&amp;"!$a1:$a10000")=汇总!$A31),COUNTIF(INDIRECT(G$1&amp;"!$a1:$a10000"),汇总!$A31)),G30)</f>
        <v/>
      </c>
      <c r="H31" s="563">
        <f t="array" ref="H31">IFERROR(INDEX(_xlfn._xlws.FILTER(INDIRECT(H$1&amp;"!$E1:$E10000"),INDIRECT(H$1&amp;"!$a1:$a10000")=汇总!$A31),COUNTIF(INDIRECT(H$1&amp;"!$a1:$a10000"),汇总!$A31)),H30)</f>
        <v/>
      </c>
      <c r="I31" s="563">
        <f t="array" ref="I31">IFERROR(INDEX(_xlfn._xlws.FILTER(INDIRECT(I$1&amp;"!$E1:$E10000"),INDIRECT(I$1&amp;"!$a1:$a10000")=汇总!$A31),COUNTIF(INDIRECT(I$1&amp;"!$a1:$a10000"),汇总!$A31)),I30)</f>
        <v/>
      </c>
      <c r="J31" s="563">
        <f t="array" ref="J31">IFERROR(INDEX(_xlfn._xlws.FILTER(INDIRECT(J$1&amp;"!$E1:$E10000"),INDIRECT(J$1&amp;"!$a1:$a10000")=汇总!$A31),COUNTIF(INDIRECT(J$1&amp;"!$a1:$a10000"),汇总!$A31)),J30)</f>
        <v/>
      </c>
      <c r="K31" s="563">
        <f t="array" ref="K31">IFERROR(INDEX(_xlfn._xlws.FILTER(INDIRECT(K$1&amp;"!$E1:$E10000"),INDIRECT(K$1&amp;"!$a1:$a10000")=汇总!$A31),COUNTIF(INDIRECT(K$1&amp;"!$a1:$a10000"),汇总!$A31)),K30)</f>
        <v/>
      </c>
      <c r="L31" s="563">
        <f t="array" ref="L31">IFERROR(INDEX(_xlfn._xlws.FILTER(INDIRECT(L$1&amp;"!$E1:$E10000"),INDIRECT(L$1&amp;"!$a1:$a10000")=汇总!$A31),COUNTIF(INDIRECT(L$1&amp;"!$a1:$a10000"),汇总!$A31)),L30)</f>
        <v/>
      </c>
      <c r="M31" s="563">
        <f t="array" ref="M31">IFERROR(INDEX(_xlfn._xlws.FILTER(INDIRECT(M$1&amp;"!$E1:$E10000"),INDIRECT(M$1&amp;"!$a1:$a10000")=汇总!$A31),COUNTIF(INDIRECT(M$1&amp;"!$a1:$a10000"),汇总!$A31)),M30)</f>
        <v/>
      </c>
      <c r="N31" s="563">
        <f t="array" ref="N31">IFERROR(INDEX(_xlfn._xlws.FILTER(INDIRECT(N$1&amp;"!$E1:$E10000"),INDIRECT(N$1&amp;"!$a1:$a10000")=汇总!$A31),COUNTIF(INDIRECT(N$1&amp;"!$a1:$a10000"),汇总!$A31)),N30)</f>
        <v/>
      </c>
      <c r="O31" s="563">
        <f t="array" ref="O31">IFERROR(INDEX(_xlfn._xlws.FILTER(INDIRECT(O$1&amp;"!$E1:$E10000"),INDIRECT(O$1&amp;"!$a1:$a10000")=汇总!$A31),COUNTIF(INDIRECT(O$1&amp;"!$a1:$a10000"),汇总!$A31)),O30)</f>
        <v/>
      </c>
      <c r="P31" s="563">
        <f t="array" ref="P31">IFERROR(INDEX(_xlfn._xlws.FILTER(INDIRECT(P$1&amp;"!$E1:$E10000"),INDIRECT(P$1&amp;"!$a1:$a10000")=汇总!$A31),COUNTIF(INDIRECT(P$1&amp;"!$a1:$a10000"),汇总!$A31)),P30)</f>
        <v/>
      </c>
      <c r="Q31" s="563">
        <f t="array" ref="Q31">IFERROR(INDEX(_xlfn._xlws.FILTER(INDIRECT(Q$1&amp;"!$E1:$E10000"),INDIRECT(Q$1&amp;"!$a1:$a10000")=汇总!$A31),COUNTIF(INDIRECT(Q$1&amp;"!$a1:$a10000"),汇总!$A31)),Q30)</f>
        <v/>
      </c>
      <c r="R31" s="563">
        <f t="array" ref="R31">IFERROR(INDEX(_xlfn._xlws.FILTER(INDIRECT(R$1&amp;"!$E1:$E10000"),INDIRECT(R$1&amp;"!$a1:$a10000")=汇总!$A31),COUNTIF(INDIRECT(R$1&amp;"!$a1:$a10000"),汇总!$A31)),R30)</f>
        <v/>
      </c>
      <c r="S31" s="563">
        <f t="array" ref="S31">IFERROR(INDEX(_xlfn._xlws.FILTER(INDIRECT(S$1&amp;"!$E1:$E10000"),INDIRECT(S$1&amp;"!$a1:$a10000")=汇总!$A31),COUNTIF(INDIRECT(S$1&amp;"!$a1:$a10000"),汇总!$A31)),S30)</f>
        <v/>
      </c>
    </row>
    <row r="32" hidden="1" s="326">
      <c r="A32" s="1">
        <f>+A31+1</f>
        <v/>
      </c>
      <c r="B32" s="563">
        <f t="array" ref="B32">IFERROR(INDEX(_xlfn._xlws.FILTER(INDIRECT(B$1&amp;"!$E1:$E10000"),INDIRECT(B$1&amp;"!$a1:$a10000")=汇总!$A32),COUNTIF(INDIRECT(B$1&amp;"!$a1:$a10000"),汇总!$A32)),B31)</f>
        <v/>
      </c>
      <c r="C32" s="563">
        <f t="array" ref="C32">IFERROR(INDEX(_xlfn._xlws.FILTER(INDIRECT(C$1&amp;"!$E1:$E10000"),INDIRECT(C$1&amp;"!$a1:$a10000")=汇总!$A32),COUNTIF(INDIRECT(C$1&amp;"!$a1:$a10000"),汇总!$A32)),C31)</f>
        <v/>
      </c>
      <c r="D32" s="563">
        <f t="array" ref="D32">IFERROR(INDEX(_xlfn._xlws.FILTER(INDIRECT(D$1&amp;"!$E1:$E10000"),INDIRECT(D$1&amp;"!$a1:$a10000")=汇总!$A32),COUNTIF(INDIRECT(D$1&amp;"!$a1:$a10000"),汇总!$A32)),D31)</f>
        <v/>
      </c>
      <c r="E32" s="563">
        <f t="array" ref="E32">IFERROR(INDEX(_xlfn._xlws.FILTER(INDIRECT(E$1&amp;"!$E1:$E10000"),INDIRECT(E$1&amp;"!$a1:$a10000")=汇总!$A32),COUNTIF(INDIRECT(E$1&amp;"!$a1:$a10000"),汇总!$A32)),E31)</f>
        <v/>
      </c>
      <c r="F32" s="563">
        <f t="array" ref="F32">IFERROR(INDEX(_xlfn._xlws.FILTER(INDIRECT(F$1&amp;"!$E1:$E10000"),INDIRECT(F$1&amp;"!$a1:$a10000")=汇总!$A32),COUNTIF(INDIRECT(F$1&amp;"!$a1:$a10000"),汇总!$A32)),F31)</f>
        <v/>
      </c>
      <c r="G32" s="563">
        <f t="array" ref="G32">IFERROR(INDEX(_xlfn._xlws.FILTER(INDIRECT(G$1&amp;"!$E1:$E10000"),INDIRECT(G$1&amp;"!$a1:$a10000")=汇总!$A32),COUNTIF(INDIRECT(G$1&amp;"!$a1:$a10000"),汇总!$A32)),G31)</f>
        <v/>
      </c>
      <c r="H32" s="563">
        <f t="array" ref="H32">IFERROR(INDEX(_xlfn._xlws.FILTER(INDIRECT(H$1&amp;"!$E1:$E10000"),INDIRECT(H$1&amp;"!$a1:$a10000")=汇总!$A32),COUNTIF(INDIRECT(H$1&amp;"!$a1:$a10000"),汇总!$A32)),H31)</f>
        <v/>
      </c>
      <c r="I32" s="563">
        <f t="array" ref="I32">IFERROR(INDEX(_xlfn._xlws.FILTER(INDIRECT(I$1&amp;"!$E1:$E10000"),INDIRECT(I$1&amp;"!$a1:$a10000")=汇总!$A32),COUNTIF(INDIRECT(I$1&amp;"!$a1:$a10000"),汇总!$A32)),I31)</f>
        <v/>
      </c>
      <c r="J32" s="563">
        <f t="array" ref="J32">IFERROR(INDEX(_xlfn._xlws.FILTER(INDIRECT(J$1&amp;"!$E1:$E10000"),INDIRECT(J$1&amp;"!$a1:$a10000")=汇总!$A32),COUNTIF(INDIRECT(J$1&amp;"!$a1:$a10000"),汇总!$A32)),J31)</f>
        <v/>
      </c>
      <c r="K32" s="563">
        <f t="array" ref="K32">IFERROR(INDEX(_xlfn._xlws.FILTER(INDIRECT(K$1&amp;"!$E1:$E10000"),INDIRECT(K$1&amp;"!$a1:$a10000")=汇总!$A32),COUNTIF(INDIRECT(K$1&amp;"!$a1:$a10000"),汇总!$A32)),K31)</f>
        <v/>
      </c>
      <c r="L32" s="563">
        <f t="array" ref="L32">IFERROR(INDEX(_xlfn._xlws.FILTER(INDIRECT(L$1&amp;"!$E1:$E10000"),INDIRECT(L$1&amp;"!$a1:$a10000")=汇总!$A32),COUNTIF(INDIRECT(L$1&amp;"!$a1:$a10000"),汇总!$A32)),L31)</f>
        <v/>
      </c>
      <c r="M32" s="563">
        <f t="array" ref="M32">IFERROR(INDEX(_xlfn._xlws.FILTER(INDIRECT(M$1&amp;"!$E1:$E10000"),INDIRECT(M$1&amp;"!$a1:$a10000")=汇总!$A32),COUNTIF(INDIRECT(M$1&amp;"!$a1:$a10000"),汇总!$A32)),M31)</f>
        <v/>
      </c>
      <c r="N32" s="563">
        <f t="array" ref="N32">IFERROR(INDEX(_xlfn._xlws.FILTER(INDIRECT(N$1&amp;"!$E1:$E10000"),INDIRECT(N$1&amp;"!$a1:$a10000")=汇总!$A32),COUNTIF(INDIRECT(N$1&amp;"!$a1:$a10000"),汇总!$A32)),N31)</f>
        <v/>
      </c>
      <c r="O32" s="563">
        <f t="array" ref="O32">IFERROR(INDEX(_xlfn._xlws.FILTER(INDIRECT(O$1&amp;"!$E1:$E10000"),INDIRECT(O$1&amp;"!$a1:$a10000")=汇总!$A32),COUNTIF(INDIRECT(O$1&amp;"!$a1:$a10000"),汇总!$A32)),O31)</f>
        <v/>
      </c>
      <c r="P32" s="563">
        <f t="array" ref="P32">IFERROR(INDEX(_xlfn._xlws.FILTER(INDIRECT(P$1&amp;"!$E1:$E10000"),INDIRECT(P$1&amp;"!$a1:$a10000")=汇总!$A32),COUNTIF(INDIRECT(P$1&amp;"!$a1:$a10000"),汇总!$A32)),P31)</f>
        <v/>
      </c>
      <c r="Q32" s="563">
        <f t="array" ref="Q32">IFERROR(INDEX(_xlfn._xlws.FILTER(INDIRECT(Q$1&amp;"!$E1:$E10000"),INDIRECT(Q$1&amp;"!$a1:$a10000")=汇总!$A32),COUNTIF(INDIRECT(Q$1&amp;"!$a1:$a10000"),汇总!$A32)),Q31)</f>
        <v/>
      </c>
      <c r="R32" s="563">
        <f t="array" ref="R32">IFERROR(INDEX(_xlfn._xlws.FILTER(INDIRECT(R$1&amp;"!$E1:$E10000"),INDIRECT(R$1&amp;"!$a1:$a10000")=汇总!$A32),COUNTIF(INDIRECT(R$1&amp;"!$a1:$a10000"),汇总!$A32)),R31)</f>
        <v/>
      </c>
      <c r="S32" s="563">
        <f t="array" ref="S32">IFERROR(INDEX(_xlfn._xlws.FILTER(INDIRECT(S$1&amp;"!$E1:$E10000"),INDIRECT(S$1&amp;"!$a1:$a10000")=汇总!$A32),COUNTIF(INDIRECT(S$1&amp;"!$a1:$a10000"),汇总!$A32)),S31)</f>
        <v/>
      </c>
    </row>
    <row r="33" hidden="1" s="326">
      <c r="A33" s="1">
        <f>+A32+1</f>
        <v/>
      </c>
      <c r="B33" s="563">
        <f t="array" ref="B33">IFERROR(INDEX(_xlfn._xlws.FILTER(INDIRECT(B$1&amp;"!$E1:$E10000"),INDIRECT(B$1&amp;"!$a1:$a10000")=汇总!$A33),COUNTIF(INDIRECT(B$1&amp;"!$a1:$a10000"),汇总!$A33)),B32)</f>
        <v/>
      </c>
      <c r="C33" s="563">
        <f t="array" ref="C33">IFERROR(INDEX(_xlfn._xlws.FILTER(INDIRECT(C$1&amp;"!$E1:$E10000"),INDIRECT(C$1&amp;"!$a1:$a10000")=汇总!$A33),COUNTIF(INDIRECT(C$1&amp;"!$a1:$a10000"),汇总!$A33)),C32)</f>
        <v/>
      </c>
      <c r="D33" s="563">
        <f t="array" ref="D33">IFERROR(INDEX(_xlfn._xlws.FILTER(INDIRECT(D$1&amp;"!$E1:$E10000"),INDIRECT(D$1&amp;"!$a1:$a10000")=汇总!$A33),COUNTIF(INDIRECT(D$1&amp;"!$a1:$a10000"),汇总!$A33)),D32)</f>
        <v/>
      </c>
      <c r="E33" s="563">
        <f t="array" ref="E33">IFERROR(INDEX(_xlfn._xlws.FILTER(INDIRECT(E$1&amp;"!$E1:$E10000"),INDIRECT(E$1&amp;"!$a1:$a10000")=汇总!$A33),COUNTIF(INDIRECT(E$1&amp;"!$a1:$a10000"),汇总!$A33)),E32)</f>
        <v/>
      </c>
      <c r="F33" s="563">
        <f t="array" ref="F33">IFERROR(INDEX(_xlfn._xlws.FILTER(INDIRECT(F$1&amp;"!$E1:$E10000"),INDIRECT(F$1&amp;"!$a1:$a10000")=汇总!$A33),COUNTIF(INDIRECT(F$1&amp;"!$a1:$a10000"),汇总!$A33)),F32)</f>
        <v/>
      </c>
      <c r="G33" s="563">
        <f t="array" ref="G33">IFERROR(INDEX(_xlfn._xlws.FILTER(INDIRECT(G$1&amp;"!$E1:$E10000"),INDIRECT(G$1&amp;"!$a1:$a10000")=汇总!$A33),COUNTIF(INDIRECT(G$1&amp;"!$a1:$a10000"),汇总!$A33)),G32)</f>
        <v/>
      </c>
      <c r="H33" s="563">
        <f t="array" ref="H33">IFERROR(INDEX(_xlfn._xlws.FILTER(INDIRECT(H$1&amp;"!$E1:$E10000"),INDIRECT(H$1&amp;"!$a1:$a10000")=汇总!$A33),COUNTIF(INDIRECT(H$1&amp;"!$a1:$a10000"),汇总!$A33)),H32)</f>
        <v/>
      </c>
      <c r="I33" s="563">
        <f t="array" ref="I33">IFERROR(INDEX(_xlfn._xlws.FILTER(INDIRECT(I$1&amp;"!$E1:$E10000"),INDIRECT(I$1&amp;"!$a1:$a10000")=汇总!$A33),COUNTIF(INDIRECT(I$1&amp;"!$a1:$a10000"),汇总!$A33)),I32)</f>
        <v/>
      </c>
      <c r="J33" s="563">
        <f t="array" ref="J33">IFERROR(INDEX(_xlfn._xlws.FILTER(INDIRECT(J$1&amp;"!$E1:$E10000"),INDIRECT(J$1&amp;"!$a1:$a10000")=汇总!$A33),COUNTIF(INDIRECT(J$1&amp;"!$a1:$a10000"),汇总!$A33)),J32)</f>
        <v/>
      </c>
      <c r="K33" s="563">
        <f t="array" ref="K33">IFERROR(INDEX(_xlfn._xlws.FILTER(INDIRECT(K$1&amp;"!$E1:$E10000"),INDIRECT(K$1&amp;"!$a1:$a10000")=汇总!$A33),COUNTIF(INDIRECT(K$1&amp;"!$a1:$a10000"),汇总!$A33)),K32)</f>
        <v/>
      </c>
      <c r="L33" s="563">
        <f t="array" ref="L33">IFERROR(INDEX(_xlfn._xlws.FILTER(INDIRECT(L$1&amp;"!$E1:$E10000"),INDIRECT(L$1&amp;"!$a1:$a10000")=汇总!$A33),COUNTIF(INDIRECT(L$1&amp;"!$a1:$a10000"),汇总!$A33)),L32)</f>
        <v/>
      </c>
      <c r="M33" s="563">
        <f t="array" ref="M33">IFERROR(INDEX(_xlfn._xlws.FILTER(INDIRECT(M$1&amp;"!$E1:$E10000"),INDIRECT(M$1&amp;"!$a1:$a10000")=汇总!$A33),COUNTIF(INDIRECT(M$1&amp;"!$a1:$a10000"),汇总!$A33)),M32)</f>
        <v/>
      </c>
      <c r="N33" s="563">
        <f t="array" ref="N33">IFERROR(INDEX(_xlfn._xlws.FILTER(INDIRECT(N$1&amp;"!$E1:$E10000"),INDIRECT(N$1&amp;"!$a1:$a10000")=汇总!$A33),COUNTIF(INDIRECT(N$1&amp;"!$a1:$a10000"),汇总!$A33)),N32)</f>
        <v/>
      </c>
      <c r="O33" s="563">
        <f t="array" ref="O33">IFERROR(INDEX(_xlfn._xlws.FILTER(INDIRECT(O$1&amp;"!$E1:$E10000"),INDIRECT(O$1&amp;"!$a1:$a10000")=汇总!$A33),COUNTIF(INDIRECT(O$1&amp;"!$a1:$a10000"),汇总!$A33)),O32)</f>
        <v/>
      </c>
      <c r="P33" s="563">
        <f t="array" ref="P33">IFERROR(INDEX(_xlfn._xlws.FILTER(INDIRECT(P$1&amp;"!$E1:$E10000"),INDIRECT(P$1&amp;"!$a1:$a10000")=汇总!$A33),COUNTIF(INDIRECT(P$1&amp;"!$a1:$a10000"),汇总!$A33)),P32)</f>
        <v/>
      </c>
      <c r="Q33" s="563">
        <f t="array" ref="Q33">IFERROR(INDEX(_xlfn._xlws.FILTER(INDIRECT(Q$1&amp;"!$E1:$E10000"),INDIRECT(Q$1&amp;"!$a1:$a10000")=汇总!$A33),COUNTIF(INDIRECT(Q$1&amp;"!$a1:$a10000"),汇总!$A33)),Q32)</f>
        <v/>
      </c>
      <c r="R33" s="563">
        <f t="array" ref="R33">IFERROR(INDEX(_xlfn._xlws.FILTER(INDIRECT(R$1&amp;"!$E1:$E10000"),INDIRECT(R$1&amp;"!$a1:$a10000")=汇总!$A33),COUNTIF(INDIRECT(R$1&amp;"!$a1:$a10000"),汇总!$A33)),R32)</f>
        <v/>
      </c>
      <c r="S33" s="563">
        <f t="array" ref="S33">IFERROR(INDEX(_xlfn._xlws.FILTER(INDIRECT(S$1&amp;"!$E1:$E10000"),INDIRECT(S$1&amp;"!$a1:$a10000")=汇总!$A33),COUNTIF(INDIRECT(S$1&amp;"!$a1:$a10000"),汇总!$A33)),S32)</f>
        <v/>
      </c>
    </row>
    <row r="34" hidden="1" s="326">
      <c r="A34" s="1">
        <f>+A33+1</f>
        <v/>
      </c>
      <c r="B34" s="563">
        <f t="array" ref="B34">IFERROR(INDEX(_xlfn._xlws.FILTER(INDIRECT(B$1&amp;"!$E1:$E10000"),INDIRECT(B$1&amp;"!$a1:$a10000")=汇总!$A34),COUNTIF(INDIRECT(B$1&amp;"!$a1:$a10000"),汇总!$A34)),B33)</f>
        <v/>
      </c>
      <c r="C34" s="563">
        <f t="array" ref="C34">IFERROR(INDEX(_xlfn._xlws.FILTER(INDIRECT(C$1&amp;"!$E1:$E10000"),INDIRECT(C$1&amp;"!$a1:$a10000")=汇总!$A34),COUNTIF(INDIRECT(C$1&amp;"!$a1:$a10000"),汇总!$A34)),C33)</f>
        <v/>
      </c>
      <c r="D34" s="563">
        <f t="array" ref="D34">IFERROR(INDEX(_xlfn._xlws.FILTER(INDIRECT(D$1&amp;"!$E1:$E10000"),INDIRECT(D$1&amp;"!$a1:$a10000")=汇总!$A34),COUNTIF(INDIRECT(D$1&amp;"!$a1:$a10000"),汇总!$A34)),D33)</f>
        <v/>
      </c>
      <c r="E34" s="563">
        <f t="array" ref="E34">IFERROR(INDEX(_xlfn._xlws.FILTER(INDIRECT(E$1&amp;"!$E1:$E10000"),INDIRECT(E$1&amp;"!$a1:$a10000")=汇总!$A34),COUNTIF(INDIRECT(E$1&amp;"!$a1:$a10000"),汇总!$A34)),E33)</f>
        <v/>
      </c>
      <c r="F34" s="563">
        <f t="array" ref="F34">IFERROR(INDEX(_xlfn._xlws.FILTER(INDIRECT(F$1&amp;"!$E1:$E10000"),INDIRECT(F$1&amp;"!$a1:$a10000")=汇总!$A34),COUNTIF(INDIRECT(F$1&amp;"!$a1:$a10000"),汇总!$A34)),F33)</f>
        <v/>
      </c>
      <c r="G34" s="563">
        <f t="array" ref="G34">IFERROR(INDEX(_xlfn._xlws.FILTER(INDIRECT(G$1&amp;"!$E1:$E10000"),INDIRECT(G$1&amp;"!$a1:$a10000")=汇总!$A34),COUNTIF(INDIRECT(G$1&amp;"!$a1:$a10000"),汇总!$A34)),G33)</f>
        <v/>
      </c>
      <c r="H34" s="563">
        <f t="array" ref="H34">IFERROR(INDEX(_xlfn._xlws.FILTER(INDIRECT(H$1&amp;"!$E1:$E10000"),INDIRECT(H$1&amp;"!$a1:$a10000")=汇总!$A34),COUNTIF(INDIRECT(H$1&amp;"!$a1:$a10000"),汇总!$A34)),H33)</f>
        <v/>
      </c>
      <c r="I34" s="563">
        <f t="array" ref="I34">IFERROR(INDEX(_xlfn._xlws.FILTER(INDIRECT(I$1&amp;"!$E1:$E10000"),INDIRECT(I$1&amp;"!$a1:$a10000")=汇总!$A34),COUNTIF(INDIRECT(I$1&amp;"!$a1:$a10000"),汇总!$A34)),I33)</f>
        <v/>
      </c>
      <c r="J34" s="563">
        <f t="array" ref="J34">IFERROR(INDEX(_xlfn._xlws.FILTER(INDIRECT(J$1&amp;"!$E1:$E10000"),INDIRECT(J$1&amp;"!$a1:$a10000")=汇总!$A34),COUNTIF(INDIRECT(J$1&amp;"!$a1:$a10000"),汇总!$A34)),J33)</f>
        <v/>
      </c>
      <c r="K34" s="563">
        <f t="array" ref="K34">IFERROR(INDEX(_xlfn._xlws.FILTER(INDIRECT(K$1&amp;"!$E1:$E10000"),INDIRECT(K$1&amp;"!$a1:$a10000")=汇总!$A34),COUNTIF(INDIRECT(K$1&amp;"!$a1:$a10000"),汇总!$A34)),K33)</f>
        <v/>
      </c>
      <c r="L34" s="563">
        <f t="array" ref="L34">IFERROR(INDEX(_xlfn._xlws.FILTER(INDIRECT(L$1&amp;"!$E1:$E10000"),INDIRECT(L$1&amp;"!$a1:$a10000")=汇总!$A34),COUNTIF(INDIRECT(L$1&amp;"!$a1:$a10000"),汇总!$A34)),L33)</f>
        <v/>
      </c>
      <c r="M34" s="563">
        <f t="array" ref="M34">IFERROR(INDEX(_xlfn._xlws.FILTER(INDIRECT(M$1&amp;"!$E1:$E10000"),INDIRECT(M$1&amp;"!$a1:$a10000")=汇总!$A34),COUNTIF(INDIRECT(M$1&amp;"!$a1:$a10000"),汇总!$A34)),M33)</f>
        <v/>
      </c>
      <c r="N34" s="563">
        <f t="array" ref="N34">IFERROR(INDEX(_xlfn._xlws.FILTER(INDIRECT(N$1&amp;"!$E1:$E10000"),INDIRECT(N$1&amp;"!$a1:$a10000")=汇总!$A34),COUNTIF(INDIRECT(N$1&amp;"!$a1:$a10000"),汇总!$A34)),N33)</f>
        <v/>
      </c>
      <c r="O34" s="563">
        <f t="array" ref="O34">IFERROR(INDEX(_xlfn._xlws.FILTER(INDIRECT(O$1&amp;"!$E1:$E10000"),INDIRECT(O$1&amp;"!$a1:$a10000")=汇总!$A34),COUNTIF(INDIRECT(O$1&amp;"!$a1:$a10000"),汇总!$A34)),O33)</f>
        <v/>
      </c>
      <c r="P34" s="563">
        <f t="array" ref="P34">IFERROR(INDEX(_xlfn._xlws.FILTER(INDIRECT(P$1&amp;"!$E1:$E10000"),INDIRECT(P$1&amp;"!$a1:$a10000")=汇总!$A34),COUNTIF(INDIRECT(P$1&amp;"!$a1:$a10000"),汇总!$A34)),P33)</f>
        <v/>
      </c>
      <c r="Q34" s="563">
        <f t="array" ref="Q34">IFERROR(INDEX(_xlfn._xlws.FILTER(INDIRECT(Q$1&amp;"!$E1:$E10000"),INDIRECT(Q$1&amp;"!$a1:$a10000")=汇总!$A34),COUNTIF(INDIRECT(Q$1&amp;"!$a1:$a10000"),汇总!$A34)),Q33)</f>
        <v/>
      </c>
      <c r="R34" s="563">
        <f t="array" ref="R34">IFERROR(INDEX(_xlfn._xlws.FILTER(INDIRECT(R$1&amp;"!$E1:$E10000"),INDIRECT(R$1&amp;"!$a1:$a10000")=汇总!$A34),COUNTIF(INDIRECT(R$1&amp;"!$a1:$a10000"),汇总!$A34)),R33)</f>
        <v/>
      </c>
      <c r="S34" s="563">
        <f t="array" ref="S34">IFERROR(INDEX(_xlfn._xlws.FILTER(INDIRECT(S$1&amp;"!$E1:$E10000"),INDIRECT(S$1&amp;"!$a1:$a10000")=汇总!$A34),COUNTIF(INDIRECT(S$1&amp;"!$a1:$a10000"),汇总!$A34)),S33)</f>
        <v/>
      </c>
    </row>
    <row r="35" hidden="1" s="326">
      <c r="A35" s="1">
        <f>+A34+1</f>
        <v/>
      </c>
      <c r="B35" s="563">
        <f t="array" ref="B35">IFERROR(INDEX(_xlfn._xlws.FILTER(INDIRECT(B$1&amp;"!$E1:$E10000"),INDIRECT(B$1&amp;"!$a1:$a10000")=汇总!$A35),COUNTIF(INDIRECT(B$1&amp;"!$a1:$a10000"),汇总!$A35)),B34)</f>
        <v/>
      </c>
      <c r="C35" s="563">
        <f t="array" ref="C35">IFERROR(INDEX(_xlfn._xlws.FILTER(INDIRECT(C$1&amp;"!$E1:$E10000"),INDIRECT(C$1&amp;"!$a1:$a10000")=汇总!$A35),COUNTIF(INDIRECT(C$1&amp;"!$a1:$a10000"),汇总!$A35)),C34)</f>
        <v/>
      </c>
      <c r="D35" s="563">
        <f t="array" ref="D35">IFERROR(INDEX(_xlfn._xlws.FILTER(INDIRECT(D$1&amp;"!$E1:$E10000"),INDIRECT(D$1&amp;"!$a1:$a10000")=汇总!$A35),COUNTIF(INDIRECT(D$1&amp;"!$a1:$a10000"),汇总!$A35)),D34)</f>
        <v/>
      </c>
      <c r="E35" s="563">
        <f t="array" ref="E35">IFERROR(INDEX(_xlfn._xlws.FILTER(INDIRECT(E$1&amp;"!$E1:$E10000"),INDIRECT(E$1&amp;"!$a1:$a10000")=汇总!$A35),COUNTIF(INDIRECT(E$1&amp;"!$a1:$a10000"),汇总!$A35)),E34)</f>
        <v/>
      </c>
      <c r="F35" s="563">
        <f t="array" ref="F35">IFERROR(INDEX(_xlfn._xlws.FILTER(INDIRECT(F$1&amp;"!$E1:$E10000"),INDIRECT(F$1&amp;"!$a1:$a10000")=汇总!$A35),COUNTIF(INDIRECT(F$1&amp;"!$a1:$a10000"),汇总!$A35)),F34)</f>
        <v/>
      </c>
      <c r="G35" s="563">
        <f t="array" ref="G35">IFERROR(INDEX(_xlfn._xlws.FILTER(INDIRECT(G$1&amp;"!$E1:$E10000"),INDIRECT(G$1&amp;"!$a1:$a10000")=汇总!$A35),COUNTIF(INDIRECT(G$1&amp;"!$a1:$a10000"),汇总!$A35)),G34)</f>
        <v/>
      </c>
      <c r="H35" s="563">
        <f t="array" ref="H35">IFERROR(INDEX(_xlfn._xlws.FILTER(INDIRECT(H$1&amp;"!$E1:$E10000"),INDIRECT(H$1&amp;"!$a1:$a10000")=汇总!$A35),COUNTIF(INDIRECT(H$1&amp;"!$a1:$a10000"),汇总!$A35)),H34)</f>
        <v/>
      </c>
      <c r="I35" s="563">
        <f t="array" ref="I35">IFERROR(INDEX(_xlfn._xlws.FILTER(INDIRECT(I$1&amp;"!$E1:$E10000"),INDIRECT(I$1&amp;"!$a1:$a10000")=汇总!$A35),COUNTIF(INDIRECT(I$1&amp;"!$a1:$a10000"),汇总!$A35)),I34)</f>
        <v/>
      </c>
      <c r="J35" s="563">
        <f t="array" ref="J35">IFERROR(INDEX(_xlfn._xlws.FILTER(INDIRECT(J$1&amp;"!$E1:$E10000"),INDIRECT(J$1&amp;"!$a1:$a10000")=汇总!$A35),COUNTIF(INDIRECT(J$1&amp;"!$a1:$a10000"),汇总!$A35)),J34)</f>
        <v/>
      </c>
      <c r="K35" s="563">
        <f t="array" ref="K35">IFERROR(INDEX(_xlfn._xlws.FILTER(INDIRECT(K$1&amp;"!$E1:$E10000"),INDIRECT(K$1&amp;"!$a1:$a10000")=汇总!$A35),COUNTIF(INDIRECT(K$1&amp;"!$a1:$a10000"),汇总!$A35)),K34)</f>
        <v/>
      </c>
      <c r="L35" s="563">
        <f t="array" ref="L35">IFERROR(INDEX(_xlfn._xlws.FILTER(INDIRECT(L$1&amp;"!$E1:$E10000"),INDIRECT(L$1&amp;"!$a1:$a10000")=汇总!$A35),COUNTIF(INDIRECT(L$1&amp;"!$a1:$a10000"),汇总!$A35)),L34)</f>
        <v/>
      </c>
      <c r="M35" s="563">
        <f t="array" ref="M35">IFERROR(INDEX(_xlfn._xlws.FILTER(INDIRECT(M$1&amp;"!$E1:$E10000"),INDIRECT(M$1&amp;"!$a1:$a10000")=汇总!$A35),COUNTIF(INDIRECT(M$1&amp;"!$a1:$a10000"),汇总!$A35)),M34)</f>
        <v/>
      </c>
      <c r="N35" s="563">
        <f t="array" ref="N35">IFERROR(INDEX(_xlfn._xlws.FILTER(INDIRECT(N$1&amp;"!$E1:$E10000"),INDIRECT(N$1&amp;"!$a1:$a10000")=汇总!$A35),COUNTIF(INDIRECT(N$1&amp;"!$a1:$a10000"),汇总!$A35)),N34)</f>
        <v/>
      </c>
      <c r="O35" s="563">
        <f t="array" ref="O35">IFERROR(INDEX(_xlfn._xlws.FILTER(INDIRECT(O$1&amp;"!$E1:$E10000"),INDIRECT(O$1&amp;"!$a1:$a10000")=汇总!$A35),COUNTIF(INDIRECT(O$1&amp;"!$a1:$a10000"),汇总!$A35)),O34)</f>
        <v/>
      </c>
      <c r="P35" s="563">
        <f t="array" ref="P35">IFERROR(INDEX(_xlfn._xlws.FILTER(INDIRECT(P$1&amp;"!$E1:$E10000"),INDIRECT(P$1&amp;"!$a1:$a10000")=汇总!$A35),COUNTIF(INDIRECT(P$1&amp;"!$a1:$a10000"),汇总!$A35)),P34)</f>
        <v/>
      </c>
      <c r="Q35" s="563">
        <f t="array" ref="Q35">IFERROR(INDEX(_xlfn._xlws.FILTER(INDIRECT(Q$1&amp;"!$E1:$E10000"),INDIRECT(Q$1&amp;"!$a1:$a10000")=汇总!$A35),COUNTIF(INDIRECT(Q$1&amp;"!$a1:$a10000"),汇总!$A35)),Q34)</f>
        <v/>
      </c>
      <c r="R35" s="563">
        <f t="array" ref="R35">IFERROR(INDEX(_xlfn._xlws.FILTER(INDIRECT(R$1&amp;"!$E1:$E10000"),INDIRECT(R$1&amp;"!$a1:$a10000")=汇总!$A35),COUNTIF(INDIRECT(R$1&amp;"!$a1:$a10000"),汇总!$A35)),R34)</f>
        <v/>
      </c>
      <c r="S35" s="563">
        <f t="array" ref="S35">IFERROR(INDEX(_xlfn._xlws.FILTER(INDIRECT(S$1&amp;"!$E1:$E10000"),INDIRECT(S$1&amp;"!$a1:$a10000")=汇总!$A35),COUNTIF(INDIRECT(S$1&amp;"!$a1:$a10000"),汇总!$A35)),S34)</f>
        <v/>
      </c>
    </row>
    <row r="36" hidden="1" s="326">
      <c r="A36" s="1">
        <f>+A35+1</f>
        <v/>
      </c>
      <c r="B36" s="563">
        <f t="array" ref="B36">IFERROR(INDEX(_xlfn._xlws.FILTER(INDIRECT(B$1&amp;"!$E1:$E10000"),INDIRECT(B$1&amp;"!$a1:$a10000")=汇总!$A36),COUNTIF(INDIRECT(B$1&amp;"!$a1:$a10000"),汇总!$A36)),B35)</f>
        <v/>
      </c>
      <c r="C36" s="563">
        <f t="array" ref="C36">IFERROR(INDEX(_xlfn._xlws.FILTER(INDIRECT(C$1&amp;"!$E1:$E10000"),INDIRECT(C$1&amp;"!$a1:$a10000")=汇总!$A36),COUNTIF(INDIRECT(C$1&amp;"!$a1:$a10000"),汇总!$A36)),C35)</f>
        <v/>
      </c>
      <c r="D36" s="563">
        <f t="array" ref="D36">IFERROR(INDEX(_xlfn._xlws.FILTER(INDIRECT(D$1&amp;"!$E1:$E10000"),INDIRECT(D$1&amp;"!$a1:$a10000")=汇总!$A36),COUNTIF(INDIRECT(D$1&amp;"!$a1:$a10000"),汇总!$A36)),D35)</f>
        <v/>
      </c>
      <c r="E36" s="563">
        <f t="array" ref="E36">IFERROR(INDEX(_xlfn._xlws.FILTER(INDIRECT(E$1&amp;"!$E1:$E10000"),INDIRECT(E$1&amp;"!$a1:$a10000")=汇总!$A36),COUNTIF(INDIRECT(E$1&amp;"!$a1:$a10000"),汇总!$A36)),E35)</f>
        <v/>
      </c>
      <c r="F36" s="563">
        <f t="array" ref="F36">IFERROR(INDEX(_xlfn._xlws.FILTER(INDIRECT(F$1&amp;"!$E1:$E10000"),INDIRECT(F$1&amp;"!$a1:$a10000")=汇总!$A36),COUNTIF(INDIRECT(F$1&amp;"!$a1:$a10000"),汇总!$A36)),F35)</f>
        <v/>
      </c>
      <c r="G36" s="563">
        <f t="array" ref="G36">IFERROR(INDEX(_xlfn._xlws.FILTER(INDIRECT(G$1&amp;"!$E1:$E10000"),INDIRECT(G$1&amp;"!$a1:$a10000")=汇总!$A36),COUNTIF(INDIRECT(G$1&amp;"!$a1:$a10000"),汇总!$A36)),G35)</f>
        <v/>
      </c>
      <c r="H36" s="563">
        <f t="array" ref="H36">IFERROR(INDEX(_xlfn._xlws.FILTER(INDIRECT(H$1&amp;"!$E1:$E10000"),INDIRECT(H$1&amp;"!$a1:$a10000")=汇总!$A36),COUNTIF(INDIRECT(H$1&amp;"!$a1:$a10000"),汇总!$A36)),H35)</f>
        <v/>
      </c>
      <c r="I36" s="563">
        <f t="array" ref="I36">IFERROR(INDEX(_xlfn._xlws.FILTER(INDIRECT(I$1&amp;"!$E1:$E10000"),INDIRECT(I$1&amp;"!$a1:$a10000")=汇总!$A36),COUNTIF(INDIRECT(I$1&amp;"!$a1:$a10000"),汇总!$A36)),I35)</f>
        <v/>
      </c>
      <c r="J36" s="563">
        <f t="array" ref="J36">IFERROR(INDEX(_xlfn._xlws.FILTER(INDIRECT(J$1&amp;"!$E1:$E10000"),INDIRECT(J$1&amp;"!$a1:$a10000")=汇总!$A36),COUNTIF(INDIRECT(J$1&amp;"!$a1:$a10000"),汇总!$A36)),J35)</f>
        <v/>
      </c>
      <c r="K36" s="563">
        <f t="array" ref="K36">IFERROR(INDEX(_xlfn._xlws.FILTER(INDIRECT(K$1&amp;"!$E1:$E10000"),INDIRECT(K$1&amp;"!$a1:$a10000")=汇总!$A36),COUNTIF(INDIRECT(K$1&amp;"!$a1:$a10000"),汇总!$A36)),K35)</f>
        <v/>
      </c>
      <c r="L36" s="563">
        <f t="array" ref="L36">IFERROR(INDEX(_xlfn._xlws.FILTER(INDIRECT(L$1&amp;"!$E1:$E10000"),INDIRECT(L$1&amp;"!$a1:$a10000")=汇总!$A36),COUNTIF(INDIRECT(L$1&amp;"!$a1:$a10000"),汇总!$A36)),L35)</f>
        <v/>
      </c>
      <c r="M36" s="563">
        <f t="array" ref="M36">IFERROR(INDEX(_xlfn._xlws.FILTER(INDIRECT(M$1&amp;"!$E1:$E10000"),INDIRECT(M$1&amp;"!$a1:$a10000")=汇总!$A36),COUNTIF(INDIRECT(M$1&amp;"!$a1:$a10000"),汇总!$A36)),M35)</f>
        <v/>
      </c>
      <c r="N36" s="563">
        <f t="array" ref="N36">IFERROR(INDEX(_xlfn._xlws.FILTER(INDIRECT(N$1&amp;"!$E1:$E10000"),INDIRECT(N$1&amp;"!$a1:$a10000")=汇总!$A36),COUNTIF(INDIRECT(N$1&amp;"!$a1:$a10000"),汇总!$A36)),N35)</f>
        <v/>
      </c>
      <c r="O36" s="563">
        <f t="array" ref="O36">IFERROR(INDEX(_xlfn._xlws.FILTER(INDIRECT(O$1&amp;"!$E1:$E10000"),INDIRECT(O$1&amp;"!$a1:$a10000")=汇总!$A36),COUNTIF(INDIRECT(O$1&amp;"!$a1:$a10000"),汇总!$A36)),O35)</f>
        <v/>
      </c>
      <c r="P36" s="563">
        <f t="array" ref="P36">IFERROR(INDEX(_xlfn._xlws.FILTER(INDIRECT(P$1&amp;"!$E1:$E10000"),INDIRECT(P$1&amp;"!$a1:$a10000")=汇总!$A36),COUNTIF(INDIRECT(P$1&amp;"!$a1:$a10000"),汇总!$A36)),P35)</f>
        <v/>
      </c>
      <c r="Q36" s="563">
        <f t="array" ref="Q36">IFERROR(INDEX(_xlfn._xlws.FILTER(INDIRECT(Q$1&amp;"!$E1:$E10000"),INDIRECT(Q$1&amp;"!$a1:$a10000")=汇总!$A36),COUNTIF(INDIRECT(Q$1&amp;"!$a1:$a10000"),汇总!$A36)),Q35)</f>
        <v/>
      </c>
      <c r="R36" s="563">
        <f t="array" ref="R36">IFERROR(INDEX(_xlfn._xlws.FILTER(INDIRECT(R$1&amp;"!$E1:$E10000"),INDIRECT(R$1&amp;"!$a1:$a10000")=汇总!$A36),COUNTIF(INDIRECT(R$1&amp;"!$a1:$a10000"),汇总!$A36)),R35)</f>
        <v/>
      </c>
      <c r="S36" s="563">
        <f t="array" ref="S36">IFERROR(INDEX(_xlfn._xlws.FILTER(INDIRECT(S$1&amp;"!$E1:$E10000"),INDIRECT(S$1&amp;"!$a1:$a10000")=汇总!$A36),COUNTIF(INDIRECT(S$1&amp;"!$a1:$a10000"),汇总!$A36)),S35)</f>
        <v/>
      </c>
    </row>
    <row r="37" hidden="1" s="326">
      <c r="A37" s="1">
        <f>+A36+1</f>
        <v/>
      </c>
      <c r="B37" s="563">
        <f t="array" ref="B37">IFERROR(INDEX(_xlfn._xlws.FILTER(INDIRECT(B$1&amp;"!$E1:$E10000"),INDIRECT(B$1&amp;"!$a1:$a10000")=汇总!$A37),COUNTIF(INDIRECT(B$1&amp;"!$a1:$a10000"),汇总!$A37)),B36)</f>
        <v/>
      </c>
      <c r="C37" s="563">
        <f t="array" ref="C37">IFERROR(INDEX(_xlfn._xlws.FILTER(INDIRECT(C$1&amp;"!$E1:$E10000"),INDIRECT(C$1&amp;"!$a1:$a10000")=汇总!$A37),COUNTIF(INDIRECT(C$1&amp;"!$a1:$a10000"),汇总!$A37)),C36)</f>
        <v/>
      </c>
      <c r="D37" s="563">
        <f t="array" ref="D37">IFERROR(INDEX(_xlfn._xlws.FILTER(INDIRECT(D$1&amp;"!$E1:$E10000"),INDIRECT(D$1&amp;"!$a1:$a10000")=汇总!$A37),COUNTIF(INDIRECT(D$1&amp;"!$a1:$a10000"),汇总!$A37)),D36)</f>
        <v/>
      </c>
      <c r="E37" s="563">
        <f t="array" ref="E37">IFERROR(INDEX(_xlfn._xlws.FILTER(INDIRECT(E$1&amp;"!$E1:$E10000"),INDIRECT(E$1&amp;"!$a1:$a10000")=汇总!$A37),COUNTIF(INDIRECT(E$1&amp;"!$a1:$a10000"),汇总!$A37)),E36)</f>
        <v/>
      </c>
      <c r="F37" s="563">
        <f t="array" ref="F37">IFERROR(INDEX(_xlfn._xlws.FILTER(INDIRECT(F$1&amp;"!$E1:$E10000"),INDIRECT(F$1&amp;"!$a1:$a10000")=汇总!$A37),COUNTIF(INDIRECT(F$1&amp;"!$a1:$a10000"),汇总!$A37)),F36)</f>
        <v/>
      </c>
      <c r="G37" s="563">
        <f t="array" ref="G37">IFERROR(INDEX(_xlfn._xlws.FILTER(INDIRECT(G$1&amp;"!$E1:$E10000"),INDIRECT(G$1&amp;"!$a1:$a10000")=汇总!$A37),COUNTIF(INDIRECT(G$1&amp;"!$a1:$a10000"),汇总!$A37)),G36)</f>
        <v/>
      </c>
      <c r="H37" s="563">
        <f t="array" ref="H37">IFERROR(INDEX(_xlfn._xlws.FILTER(INDIRECT(H$1&amp;"!$E1:$E10000"),INDIRECT(H$1&amp;"!$a1:$a10000")=汇总!$A37),COUNTIF(INDIRECT(H$1&amp;"!$a1:$a10000"),汇总!$A37)),H36)</f>
        <v/>
      </c>
      <c r="I37" s="563">
        <f t="array" ref="I37">IFERROR(INDEX(_xlfn._xlws.FILTER(INDIRECT(I$1&amp;"!$E1:$E10000"),INDIRECT(I$1&amp;"!$a1:$a10000")=汇总!$A37),COUNTIF(INDIRECT(I$1&amp;"!$a1:$a10000"),汇总!$A37)),I36)</f>
        <v/>
      </c>
      <c r="J37" s="563">
        <f t="array" ref="J37">IFERROR(INDEX(_xlfn._xlws.FILTER(INDIRECT(J$1&amp;"!$E1:$E10000"),INDIRECT(J$1&amp;"!$a1:$a10000")=汇总!$A37),COUNTIF(INDIRECT(J$1&amp;"!$a1:$a10000"),汇总!$A37)),J36)</f>
        <v/>
      </c>
      <c r="K37" s="563">
        <f t="array" ref="K37">IFERROR(INDEX(_xlfn._xlws.FILTER(INDIRECT(K$1&amp;"!$E1:$E10000"),INDIRECT(K$1&amp;"!$a1:$a10000")=汇总!$A37),COUNTIF(INDIRECT(K$1&amp;"!$a1:$a10000"),汇总!$A37)),K36)</f>
        <v/>
      </c>
      <c r="L37" s="563">
        <f t="array" ref="L37">IFERROR(INDEX(_xlfn._xlws.FILTER(INDIRECT(L$1&amp;"!$E1:$E10000"),INDIRECT(L$1&amp;"!$a1:$a10000")=汇总!$A37),COUNTIF(INDIRECT(L$1&amp;"!$a1:$a10000"),汇总!$A37)),L36)</f>
        <v/>
      </c>
      <c r="M37" s="563">
        <f t="array" ref="M37">IFERROR(INDEX(_xlfn._xlws.FILTER(INDIRECT(M$1&amp;"!$E1:$E10000"),INDIRECT(M$1&amp;"!$a1:$a10000")=汇总!$A37),COUNTIF(INDIRECT(M$1&amp;"!$a1:$a10000"),汇总!$A37)),M36)</f>
        <v/>
      </c>
      <c r="N37" s="563">
        <f t="array" ref="N37">IFERROR(INDEX(_xlfn._xlws.FILTER(INDIRECT(N$1&amp;"!$E1:$E10000"),INDIRECT(N$1&amp;"!$a1:$a10000")=汇总!$A37),COUNTIF(INDIRECT(N$1&amp;"!$a1:$a10000"),汇总!$A37)),N36)</f>
        <v/>
      </c>
      <c r="O37" s="563">
        <f t="array" ref="O37">IFERROR(INDEX(_xlfn._xlws.FILTER(INDIRECT(O$1&amp;"!$E1:$E10000"),INDIRECT(O$1&amp;"!$a1:$a10000")=汇总!$A37),COUNTIF(INDIRECT(O$1&amp;"!$a1:$a10000"),汇总!$A37)),O36)</f>
        <v/>
      </c>
      <c r="P37" s="563">
        <f t="array" ref="P37">IFERROR(INDEX(_xlfn._xlws.FILTER(INDIRECT(P$1&amp;"!$E1:$E10000"),INDIRECT(P$1&amp;"!$a1:$a10000")=汇总!$A37),COUNTIF(INDIRECT(P$1&amp;"!$a1:$a10000"),汇总!$A37)),P36)</f>
        <v/>
      </c>
      <c r="Q37" s="563">
        <f t="array" ref="Q37">IFERROR(INDEX(_xlfn._xlws.FILTER(INDIRECT(Q$1&amp;"!$E1:$E10000"),INDIRECT(Q$1&amp;"!$a1:$a10000")=汇总!$A37),COUNTIF(INDIRECT(Q$1&amp;"!$a1:$a10000"),汇总!$A37)),Q36)</f>
        <v/>
      </c>
      <c r="R37" s="563">
        <f t="array" ref="R37">IFERROR(INDEX(_xlfn._xlws.FILTER(INDIRECT(R$1&amp;"!$E1:$E10000"),INDIRECT(R$1&amp;"!$a1:$a10000")=汇总!$A37),COUNTIF(INDIRECT(R$1&amp;"!$a1:$a10000"),汇总!$A37)),R36)</f>
        <v/>
      </c>
      <c r="S37" s="563">
        <f t="array" ref="S37">IFERROR(INDEX(_xlfn._xlws.FILTER(INDIRECT(S$1&amp;"!$E1:$E10000"),INDIRECT(S$1&amp;"!$a1:$a10000")=汇总!$A37),COUNTIF(INDIRECT(S$1&amp;"!$a1:$a10000"),汇总!$A37)),S36)</f>
        <v/>
      </c>
    </row>
    <row r="38" hidden="1" s="326">
      <c r="A38" s="1">
        <f>+A37+1</f>
        <v/>
      </c>
      <c r="B38" s="563">
        <f t="array" ref="B38">IFERROR(INDEX(_xlfn._xlws.FILTER(INDIRECT(B$1&amp;"!$E1:$E10000"),INDIRECT(B$1&amp;"!$a1:$a10000")=汇总!$A38),COUNTIF(INDIRECT(B$1&amp;"!$a1:$a10000"),汇总!$A38)),B37)</f>
        <v/>
      </c>
      <c r="C38" s="563">
        <f t="array" ref="C38">IFERROR(INDEX(_xlfn._xlws.FILTER(INDIRECT(C$1&amp;"!$E1:$E10000"),INDIRECT(C$1&amp;"!$a1:$a10000")=汇总!$A38),COUNTIF(INDIRECT(C$1&amp;"!$a1:$a10000"),汇总!$A38)),C37)</f>
        <v/>
      </c>
      <c r="D38" s="563">
        <f t="array" ref="D38">IFERROR(INDEX(_xlfn._xlws.FILTER(INDIRECT(D$1&amp;"!$E1:$E10000"),INDIRECT(D$1&amp;"!$a1:$a10000")=汇总!$A38),COUNTIF(INDIRECT(D$1&amp;"!$a1:$a10000"),汇总!$A38)),D37)</f>
        <v/>
      </c>
      <c r="E38" s="563">
        <f t="array" ref="E38">IFERROR(INDEX(_xlfn._xlws.FILTER(INDIRECT(E$1&amp;"!$E1:$E10000"),INDIRECT(E$1&amp;"!$a1:$a10000")=汇总!$A38),COUNTIF(INDIRECT(E$1&amp;"!$a1:$a10000"),汇总!$A38)),E37)</f>
        <v/>
      </c>
      <c r="F38" s="563">
        <f t="array" ref="F38">IFERROR(INDEX(_xlfn._xlws.FILTER(INDIRECT(F$1&amp;"!$E1:$E10000"),INDIRECT(F$1&amp;"!$a1:$a10000")=汇总!$A38),COUNTIF(INDIRECT(F$1&amp;"!$a1:$a10000"),汇总!$A38)),F37)</f>
        <v/>
      </c>
      <c r="G38" s="563">
        <f t="array" ref="G38">IFERROR(INDEX(_xlfn._xlws.FILTER(INDIRECT(G$1&amp;"!$E1:$E10000"),INDIRECT(G$1&amp;"!$a1:$a10000")=汇总!$A38),COUNTIF(INDIRECT(G$1&amp;"!$a1:$a10000"),汇总!$A38)),G37)</f>
        <v/>
      </c>
      <c r="H38" s="563">
        <f t="array" ref="H38">IFERROR(INDEX(_xlfn._xlws.FILTER(INDIRECT(H$1&amp;"!$E1:$E10000"),INDIRECT(H$1&amp;"!$a1:$a10000")=汇总!$A38),COUNTIF(INDIRECT(H$1&amp;"!$a1:$a10000"),汇总!$A38)),H37)</f>
        <v/>
      </c>
      <c r="I38" s="563">
        <f t="array" ref="I38">IFERROR(INDEX(_xlfn._xlws.FILTER(INDIRECT(I$1&amp;"!$E1:$E10000"),INDIRECT(I$1&amp;"!$a1:$a10000")=汇总!$A38),COUNTIF(INDIRECT(I$1&amp;"!$a1:$a10000"),汇总!$A38)),I37)</f>
        <v/>
      </c>
      <c r="J38" s="563">
        <f t="array" ref="J38">IFERROR(INDEX(_xlfn._xlws.FILTER(INDIRECT(J$1&amp;"!$E1:$E10000"),INDIRECT(J$1&amp;"!$a1:$a10000")=汇总!$A38),COUNTIF(INDIRECT(J$1&amp;"!$a1:$a10000"),汇总!$A38)),J37)</f>
        <v/>
      </c>
      <c r="K38" s="563">
        <f t="array" ref="K38">IFERROR(INDEX(_xlfn._xlws.FILTER(INDIRECT(K$1&amp;"!$E1:$E10000"),INDIRECT(K$1&amp;"!$a1:$a10000")=汇总!$A38),COUNTIF(INDIRECT(K$1&amp;"!$a1:$a10000"),汇总!$A38)),K37)</f>
        <v/>
      </c>
      <c r="L38" s="563">
        <f t="array" ref="L38">IFERROR(INDEX(_xlfn._xlws.FILTER(INDIRECT(L$1&amp;"!$E1:$E10000"),INDIRECT(L$1&amp;"!$a1:$a10000")=汇总!$A38),COUNTIF(INDIRECT(L$1&amp;"!$a1:$a10000"),汇总!$A38)),L37)</f>
        <v/>
      </c>
      <c r="M38" s="563">
        <f t="array" ref="M38">IFERROR(INDEX(_xlfn._xlws.FILTER(INDIRECT(M$1&amp;"!$E1:$E10000"),INDIRECT(M$1&amp;"!$a1:$a10000")=汇总!$A38),COUNTIF(INDIRECT(M$1&amp;"!$a1:$a10000"),汇总!$A38)),M37)</f>
        <v/>
      </c>
      <c r="N38" s="563">
        <f t="array" ref="N38">IFERROR(INDEX(_xlfn._xlws.FILTER(INDIRECT(N$1&amp;"!$E1:$E10000"),INDIRECT(N$1&amp;"!$a1:$a10000")=汇总!$A38),COUNTIF(INDIRECT(N$1&amp;"!$a1:$a10000"),汇总!$A38)),N37)</f>
        <v/>
      </c>
      <c r="O38" s="563">
        <f t="array" ref="O38">IFERROR(INDEX(_xlfn._xlws.FILTER(INDIRECT(O$1&amp;"!$E1:$E10000"),INDIRECT(O$1&amp;"!$a1:$a10000")=汇总!$A38),COUNTIF(INDIRECT(O$1&amp;"!$a1:$a10000"),汇总!$A38)),O37)</f>
        <v/>
      </c>
      <c r="P38" s="563">
        <f t="array" ref="P38">IFERROR(INDEX(_xlfn._xlws.FILTER(INDIRECT(P$1&amp;"!$E1:$E10000"),INDIRECT(P$1&amp;"!$a1:$a10000")=汇总!$A38),COUNTIF(INDIRECT(P$1&amp;"!$a1:$a10000"),汇总!$A38)),P37)</f>
        <v/>
      </c>
      <c r="Q38" s="563">
        <f t="array" ref="Q38">IFERROR(INDEX(_xlfn._xlws.FILTER(INDIRECT(Q$1&amp;"!$E1:$E10000"),INDIRECT(Q$1&amp;"!$a1:$a10000")=汇总!$A38),COUNTIF(INDIRECT(Q$1&amp;"!$a1:$a10000"),汇总!$A38)),Q37)</f>
        <v/>
      </c>
      <c r="R38" s="563">
        <f t="array" ref="R38">IFERROR(INDEX(_xlfn._xlws.FILTER(INDIRECT(R$1&amp;"!$E1:$E10000"),INDIRECT(R$1&amp;"!$a1:$a10000")=汇总!$A38),COUNTIF(INDIRECT(R$1&amp;"!$a1:$a10000"),汇总!$A38)),R37)</f>
        <v/>
      </c>
      <c r="S38" s="563">
        <f t="array" ref="S38">IFERROR(INDEX(_xlfn._xlws.FILTER(INDIRECT(S$1&amp;"!$E1:$E10000"),INDIRECT(S$1&amp;"!$a1:$a10000")=汇总!$A38),COUNTIF(INDIRECT(S$1&amp;"!$a1:$a10000"),汇总!$A38)),S37)</f>
        <v/>
      </c>
    </row>
    <row r="39" hidden="1" s="326">
      <c r="A39" s="1">
        <f>+A38+1</f>
        <v/>
      </c>
      <c r="B39" s="563">
        <f t="array" ref="B39">IFERROR(INDEX(_xlfn._xlws.FILTER(INDIRECT(B$1&amp;"!$E1:$E10000"),INDIRECT(B$1&amp;"!$a1:$a10000")=汇总!$A39),COUNTIF(INDIRECT(B$1&amp;"!$a1:$a10000"),汇总!$A39)),B38)</f>
        <v/>
      </c>
      <c r="C39" s="563">
        <f t="array" ref="C39">IFERROR(INDEX(_xlfn._xlws.FILTER(INDIRECT(C$1&amp;"!$E1:$E10000"),INDIRECT(C$1&amp;"!$a1:$a10000")=汇总!$A39),COUNTIF(INDIRECT(C$1&amp;"!$a1:$a10000"),汇总!$A39)),C38)</f>
        <v/>
      </c>
      <c r="D39" s="563">
        <f t="array" ref="D39">IFERROR(INDEX(_xlfn._xlws.FILTER(INDIRECT(D$1&amp;"!$E1:$E10000"),INDIRECT(D$1&amp;"!$a1:$a10000")=汇总!$A39),COUNTIF(INDIRECT(D$1&amp;"!$a1:$a10000"),汇总!$A39)),D38)</f>
        <v/>
      </c>
      <c r="E39" s="563">
        <f t="array" ref="E39">IFERROR(INDEX(_xlfn._xlws.FILTER(INDIRECT(E$1&amp;"!$E1:$E10000"),INDIRECT(E$1&amp;"!$a1:$a10000")=汇总!$A39),COUNTIF(INDIRECT(E$1&amp;"!$a1:$a10000"),汇总!$A39)),E38)</f>
        <v/>
      </c>
      <c r="F39" s="563">
        <f t="array" ref="F39">IFERROR(INDEX(_xlfn._xlws.FILTER(INDIRECT(F$1&amp;"!$E1:$E10000"),INDIRECT(F$1&amp;"!$a1:$a10000")=汇总!$A39),COUNTIF(INDIRECT(F$1&amp;"!$a1:$a10000"),汇总!$A39)),F38)</f>
        <v/>
      </c>
      <c r="G39" s="563">
        <f t="array" ref="G39">IFERROR(INDEX(_xlfn._xlws.FILTER(INDIRECT(G$1&amp;"!$E1:$E10000"),INDIRECT(G$1&amp;"!$a1:$a10000")=汇总!$A39),COUNTIF(INDIRECT(G$1&amp;"!$a1:$a10000"),汇总!$A39)),G38)</f>
        <v/>
      </c>
      <c r="H39" s="563">
        <f t="array" ref="H39">IFERROR(INDEX(_xlfn._xlws.FILTER(INDIRECT(H$1&amp;"!$E1:$E10000"),INDIRECT(H$1&amp;"!$a1:$a10000")=汇总!$A39),COUNTIF(INDIRECT(H$1&amp;"!$a1:$a10000"),汇总!$A39)),H38)</f>
        <v/>
      </c>
      <c r="I39" s="563">
        <f t="array" ref="I39">IFERROR(INDEX(_xlfn._xlws.FILTER(INDIRECT(I$1&amp;"!$E1:$E10000"),INDIRECT(I$1&amp;"!$a1:$a10000")=汇总!$A39),COUNTIF(INDIRECT(I$1&amp;"!$a1:$a10000"),汇总!$A39)),I38)</f>
        <v/>
      </c>
      <c r="J39" s="563">
        <f t="array" ref="J39">IFERROR(INDEX(_xlfn._xlws.FILTER(INDIRECT(J$1&amp;"!$E1:$E10000"),INDIRECT(J$1&amp;"!$a1:$a10000")=汇总!$A39),COUNTIF(INDIRECT(J$1&amp;"!$a1:$a10000"),汇总!$A39)),J38)</f>
        <v/>
      </c>
      <c r="K39" s="563">
        <f t="array" ref="K39">IFERROR(INDEX(_xlfn._xlws.FILTER(INDIRECT(K$1&amp;"!$E1:$E10000"),INDIRECT(K$1&amp;"!$a1:$a10000")=汇总!$A39),COUNTIF(INDIRECT(K$1&amp;"!$a1:$a10000"),汇总!$A39)),K38)</f>
        <v/>
      </c>
      <c r="L39" s="563">
        <f t="array" ref="L39">IFERROR(INDEX(_xlfn._xlws.FILTER(INDIRECT(L$1&amp;"!$E1:$E10000"),INDIRECT(L$1&amp;"!$a1:$a10000")=汇总!$A39),COUNTIF(INDIRECT(L$1&amp;"!$a1:$a10000"),汇总!$A39)),L38)</f>
        <v/>
      </c>
      <c r="M39" s="563">
        <f t="array" ref="M39">IFERROR(INDEX(_xlfn._xlws.FILTER(INDIRECT(M$1&amp;"!$E1:$E10000"),INDIRECT(M$1&amp;"!$a1:$a10000")=汇总!$A39),COUNTIF(INDIRECT(M$1&amp;"!$a1:$a10000"),汇总!$A39)),M38)</f>
        <v/>
      </c>
      <c r="N39" s="563">
        <f t="array" ref="N39">IFERROR(INDEX(_xlfn._xlws.FILTER(INDIRECT(N$1&amp;"!$E1:$E10000"),INDIRECT(N$1&amp;"!$a1:$a10000")=汇总!$A39),COUNTIF(INDIRECT(N$1&amp;"!$a1:$a10000"),汇总!$A39)),N38)</f>
        <v/>
      </c>
      <c r="O39" s="563">
        <f t="array" ref="O39">IFERROR(INDEX(_xlfn._xlws.FILTER(INDIRECT(O$1&amp;"!$E1:$E10000"),INDIRECT(O$1&amp;"!$a1:$a10000")=汇总!$A39),COUNTIF(INDIRECT(O$1&amp;"!$a1:$a10000"),汇总!$A39)),O38)</f>
        <v/>
      </c>
      <c r="P39" s="563">
        <f t="array" ref="P39">IFERROR(INDEX(_xlfn._xlws.FILTER(INDIRECT(P$1&amp;"!$E1:$E10000"),INDIRECT(P$1&amp;"!$a1:$a10000")=汇总!$A39),COUNTIF(INDIRECT(P$1&amp;"!$a1:$a10000"),汇总!$A39)),P38)</f>
        <v/>
      </c>
      <c r="Q39" s="563">
        <f t="array" ref="Q39">IFERROR(INDEX(_xlfn._xlws.FILTER(INDIRECT(Q$1&amp;"!$E1:$E10000"),INDIRECT(Q$1&amp;"!$a1:$a10000")=汇总!$A39),COUNTIF(INDIRECT(Q$1&amp;"!$a1:$a10000"),汇总!$A39)),Q38)</f>
        <v/>
      </c>
      <c r="R39" s="563">
        <f t="array" ref="R39">IFERROR(INDEX(_xlfn._xlws.FILTER(INDIRECT(R$1&amp;"!$E1:$E10000"),INDIRECT(R$1&amp;"!$a1:$a10000")=汇总!$A39),COUNTIF(INDIRECT(R$1&amp;"!$a1:$a10000"),汇总!$A39)),R38)</f>
        <v/>
      </c>
      <c r="S39" s="563">
        <f t="array" ref="S39">IFERROR(INDEX(_xlfn._xlws.FILTER(INDIRECT(S$1&amp;"!$E1:$E10000"),INDIRECT(S$1&amp;"!$a1:$a10000")=汇总!$A39),COUNTIF(INDIRECT(S$1&amp;"!$a1:$a10000"),汇总!$A39)),S38)</f>
        <v/>
      </c>
    </row>
    <row r="40" hidden="1" s="326">
      <c r="A40" s="1">
        <f>+A39+1</f>
        <v/>
      </c>
      <c r="B40" s="563">
        <f t="array" ref="B40">IFERROR(INDEX(_xlfn._xlws.FILTER(INDIRECT(B$1&amp;"!$E1:$E10000"),INDIRECT(B$1&amp;"!$a1:$a10000")=汇总!$A40),COUNTIF(INDIRECT(B$1&amp;"!$a1:$a10000"),汇总!$A40)),B39)</f>
        <v/>
      </c>
      <c r="C40" s="563">
        <f t="array" ref="C40">IFERROR(INDEX(_xlfn._xlws.FILTER(INDIRECT(C$1&amp;"!$E1:$E10000"),INDIRECT(C$1&amp;"!$a1:$a10000")=汇总!$A40),COUNTIF(INDIRECT(C$1&amp;"!$a1:$a10000"),汇总!$A40)),C39)</f>
        <v/>
      </c>
      <c r="D40" s="563">
        <f t="array" ref="D40">IFERROR(INDEX(_xlfn._xlws.FILTER(INDIRECT(D$1&amp;"!$E1:$E10000"),INDIRECT(D$1&amp;"!$a1:$a10000")=汇总!$A40),COUNTIF(INDIRECT(D$1&amp;"!$a1:$a10000"),汇总!$A40)),D39)</f>
        <v/>
      </c>
      <c r="E40" s="563">
        <f t="array" ref="E40">IFERROR(INDEX(_xlfn._xlws.FILTER(INDIRECT(E$1&amp;"!$E1:$E10000"),INDIRECT(E$1&amp;"!$a1:$a10000")=汇总!$A40),COUNTIF(INDIRECT(E$1&amp;"!$a1:$a10000"),汇总!$A40)),E39)</f>
        <v/>
      </c>
      <c r="F40" s="563">
        <f t="array" ref="F40">IFERROR(INDEX(_xlfn._xlws.FILTER(INDIRECT(F$1&amp;"!$E1:$E10000"),INDIRECT(F$1&amp;"!$a1:$a10000")=汇总!$A40),COUNTIF(INDIRECT(F$1&amp;"!$a1:$a10000"),汇总!$A40)),F39)</f>
        <v/>
      </c>
      <c r="G40" s="563">
        <f t="array" ref="G40">IFERROR(INDEX(_xlfn._xlws.FILTER(INDIRECT(G$1&amp;"!$E1:$E10000"),INDIRECT(G$1&amp;"!$a1:$a10000")=汇总!$A40),COUNTIF(INDIRECT(G$1&amp;"!$a1:$a10000"),汇总!$A40)),G39)</f>
        <v/>
      </c>
      <c r="H40" s="563">
        <f t="array" ref="H40">IFERROR(INDEX(_xlfn._xlws.FILTER(INDIRECT(H$1&amp;"!$E1:$E10000"),INDIRECT(H$1&amp;"!$a1:$a10000")=汇总!$A40),COUNTIF(INDIRECT(H$1&amp;"!$a1:$a10000"),汇总!$A40)),H39)</f>
        <v/>
      </c>
      <c r="I40" s="563">
        <f t="array" ref="I40">IFERROR(INDEX(_xlfn._xlws.FILTER(INDIRECT(I$1&amp;"!$E1:$E10000"),INDIRECT(I$1&amp;"!$a1:$a10000")=汇总!$A40),COUNTIF(INDIRECT(I$1&amp;"!$a1:$a10000"),汇总!$A40)),I39)</f>
        <v/>
      </c>
      <c r="J40" s="563">
        <f t="array" ref="J40">IFERROR(INDEX(_xlfn._xlws.FILTER(INDIRECT(J$1&amp;"!$E1:$E10000"),INDIRECT(J$1&amp;"!$a1:$a10000")=汇总!$A40),COUNTIF(INDIRECT(J$1&amp;"!$a1:$a10000"),汇总!$A40)),J39)</f>
        <v/>
      </c>
      <c r="K40" s="563">
        <f t="array" ref="K40">IFERROR(INDEX(_xlfn._xlws.FILTER(INDIRECT(K$1&amp;"!$E1:$E10000"),INDIRECT(K$1&amp;"!$a1:$a10000")=汇总!$A40),COUNTIF(INDIRECT(K$1&amp;"!$a1:$a10000"),汇总!$A40)),K39)</f>
        <v/>
      </c>
      <c r="L40" s="563">
        <f t="array" ref="L40">IFERROR(INDEX(_xlfn._xlws.FILTER(INDIRECT(L$1&amp;"!$E1:$E10000"),INDIRECT(L$1&amp;"!$a1:$a10000")=汇总!$A40),COUNTIF(INDIRECT(L$1&amp;"!$a1:$a10000"),汇总!$A40)),L39)</f>
        <v/>
      </c>
      <c r="M40" s="563">
        <f t="array" ref="M40">IFERROR(INDEX(_xlfn._xlws.FILTER(INDIRECT(M$1&amp;"!$E1:$E10000"),INDIRECT(M$1&amp;"!$a1:$a10000")=汇总!$A40),COUNTIF(INDIRECT(M$1&amp;"!$a1:$a10000"),汇总!$A40)),M39)</f>
        <v/>
      </c>
      <c r="N40" s="563">
        <f t="array" ref="N40">IFERROR(INDEX(_xlfn._xlws.FILTER(INDIRECT(N$1&amp;"!$E1:$E10000"),INDIRECT(N$1&amp;"!$a1:$a10000")=汇总!$A40),COUNTIF(INDIRECT(N$1&amp;"!$a1:$a10000"),汇总!$A40)),N39)</f>
        <v/>
      </c>
      <c r="O40" s="563">
        <f t="array" ref="O40">IFERROR(INDEX(_xlfn._xlws.FILTER(INDIRECT(O$1&amp;"!$E1:$E10000"),INDIRECT(O$1&amp;"!$a1:$a10000")=汇总!$A40),COUNTIF(INDIRECT(O$1&amp;"!$a1:$a10000"),汇总!$A40)),O39)</f>
        <v/>
      </c>
      <c r="P40" s="563">
        <f t="array" ref="P40">IFERROR(INDEX(_xlfn._xlws.FILTER(INDIRECT(P$1&amp;"!$E1:$E10000"),INDIRECT(P$1&amp;"!$a1:$a10000")=汇总!$A40),COUNTIF(INDIRECT(P$1&amp;"!$a1:$a10000"),汇总!$A40)),P39)</f>
        <v/>
      </c>
      <c r="Q40" s="563">
        <f t="array" ref="Q40">IFERROR(INDEX(_xlfn._xlws.FILTER(INDIRECT(Q$1&amp;"!$E1:$E10000"),INDIRECT(Q$1&amp;"!$a1:$a10000")=汇总!$A40),COUNTIF(INDIRECT(Q$1&amp;"!$a1:$a10000"),汇总!$A40)),Q39)</f>
        <v/>
      </c>
      <c r="R40" s="563">
        <f t="array" ref="R40">IFERROR(INDEX(_xlfn._xlws.FILTER(INDIRECT(R$1&amp;"!$E1:$E10000"),INDIRECT(R$1&amp;"!$a1:$a10000")=汇总!$A40),COUNTIF(INDIRECT(R$1&amp;"!$a1:$a10000"),汇总!$A40)),R39)</f>
        <v/>
      </c>
      <c r="S40" s="563">
        <f t="array" ref="S40">IFERROR(INDEX(_xlfn._xlws.FILTER(INDIRECT(S$1&amp;"!$E1:$E10000"),INDIRECT(S$1&amp;"!$a1:$a10000")=汇总!$A40),COUNTIF(INDIRECT(S$1&amp;"!$a1:$a10000"),汇总!$A40)),S39)</f>
        <v/>
      </c>
    </row>
    <row r="41" hidden="1" s="326">
      <c r="A41" s="1">
        <f>+A40+1</f>
        <v/>
      </c>
      <c r="B41" s="563">
        <f t="array" ref="B41">IFERROR(INDEX(_xlfn._xlws.FILTER(INDIRECT(B$1&amp;"!$E1:$E10000"),INDIRECT(B$1&amp;"!$a1:$a10000")=汇总!$A41),COUNTIF(INDIRECT(B$1&amp;"!$a1:$a10000"),汇总!$A41)),B40)</f>
        <v/>
      </c>
      <c r="C41" s="563">
        <f t="array" ref="C41">IFERROR(INDEX(_xlfn._xlws.FILTER(INDIRECT(C$1&amp;"!$E1:$E10000"),INDIRECT(C$1&amp;"!$a1:$a10000")=汇总!$A41),COUNTIF(INDIRECT(C$1&amp;"!$a1:$a10000"),汇总!$A41)),C40)</f>
        <v/>
      </c>
      <c r="D41" s="563">
        <f t="array" ref="D41">IFERROR(INDEX(_xlfn._xlws.FILTER(INDIRECT(D$1&amp;"!$E1:$E10000"),INDIRECT(D$1&amp;"!$a1:$a10000")=汇总!$A41),COUNTIF(INDIRECT(D$1&amp;"!$a1:$a10000"),汇总!$A41)),D40)</f>
        <v/>
      </c>
      <c r="E41" s="563">
        <f t="array" ref="E41">IFERROR(INDEX(_xlfn._xlws.FILTER(INDIRECT(E$1&amp;"!$E1:$E10000"),INDIRECT(E$1&amp;"!$a1:$a10000")=汇总!$A41),COUNTIF(INDIRECT(E$1&amp;"!$a1:$a10000"),汇总!$A41)),E40)</f>
        <v/>
      </c>
      <c r="F41" s="563">
        <f t="array" ref="F41">IFERROR(INDEX(_xlfn._xlws.FILTER(INDIRECT(F$1&amp;"!$E1:$E10000"),INDIRECT(F$1&amp;"!$a1:$a10000")=汇总!$A41),COUNTIF(INDIRECT(F$1&amp;"!$a1:$a10000"),汇总!$A41)),F40)</f>
        <v/>
      </c>
      <c r="G41" s="563">
        <f t="array" ref="G41">IFERROR(INDEX(_xlfn._xlws.FILTER(INDIRECT(G$1&amp;"!$E1:$E10000"),INDIRECT(G$1&amp;"!$a1:$a10000")=汇总!$A41),COUNTIF(INDIRECT(G$1&amp;"!$a1:$a10000"),汇总!$A41)),G40)</f>
        <v/>
      </c>
      <c r="H41" s="563">
        <f t="array" ref="H41">IFERROR(INDEX(_xlfn._xlws.FILTER(INDIRECT(H$1&amp;"!$E1:$E10000"),INDIRECT(H$1&amp;"!$a1:$a10000")=汇总!$A41),COUNTIF(INDIRECT(H$1&amp;"!$a1:$a10000"),汇总!$A41)),H40)</f>
        <v/>
      </c>
      <c r="I41" s="563">
        <f t="array" ref="I41">IFERROR(INDEX(_xlfn._xlws.FILTER(INDIRECT(I$1&amp;"!$E1:$E10000"),INDIRECT(I$1&amp;"!$a1:$a10000")=汇总!$A41),COUNTIF(INDIRECT(I$1&amp;"!$a1:$a10000"),汇总!$A41)),I40)</f>
        <v/>
      </c>
      <c r="J41" s="563">
        <f t="array" ref="J41">IFERROR(INDEX(_xlfn._xlws.FILTER(INDIRECT(J$1&amp;"!$E1:$E10000"),INDIRECT(J$1&amp;"!$a1:$a10000")=汇总!$A41),COUNTIF(INDIRECT(J$1&amp;"!$a1:$a10000"),汇总!$A41)),J40)</f>
        <v/>
      </c>
      <c r="K41" s="563">
        <f t="array" ref="K41">IFERROR(INDEX(_xlfn._xlws.FILTER(INDIRECT(K$1&amp;"!$E1:$E10000"),INDIRECT(K$1&amp;"!$a1:$a10000")=汇总!$A41),COUNTIF(INDIRECT(K$1&amp;"!$a1:$a10000"),汇总!$A41)),K40)</f>
        <v/>
      </c>
      <c r="L41" s="563">
        <f t="array" ref="L41">IFERROR(INDEX(_xlfn._xlws.FILTER(INDIRECT(L$1&amp;"!$E1:$E10000"),INDIRECT(L$1&amp;"!$a1:$a10000")=汇总!$A41),COUNTIF(INDIRECT(L$1&amp;"!$a1:$a10000"),汇总!$A41)),L40)</f>
        <v/>
      </c>
      <c r="M41" s="563">
        <f t="array" ref="M41">IFERROR(INDEX(_xlfn._xlws.FILTER(INDIRECT(M$1&amp;"!$E1:$E10000"),INDIRECT(M$1&amp;"!$a1:$a10000")=汇总!$A41),COUNTIF(INDIRECT(M$1&amp;"!$a1:$a10000"),汇总!$A41)),M40)</f>
        <v/>
      </c>
      <c r="N41" s="563">
        <f t="array" ref="N41">IFERROR(INDEX(_xlfn._xlws.FILTER(INDIRECT(N$1&amp;"!$E1:$E10000"),INDIRECT(N$1&amp;"!$a1:$a10000")=汇总!$A41),COUNTIF(INDIRECT(N$1&amp;"!$a1:$a10000"),汇总!$A41)),N40)</f>
        <v/>
      </c>
      <c r="O41" s="563">
        <f t="array" ref="O41">IFERROR(INDEX(_xlfn._xlws.FILTER(INDIRECT(O$1&amp;"!$E1:$E10000"),INDIRECT(O$1&amp;"!$a1:$a10000")=汇总!$A41),COUNTIF(INDIRECT(O$1&amp;"!$a1:$a10000"),汇总!$A41)),O40)</f>
        <v/>
      </c>
      <c r="P41" s="563">
        <f t="array" ref="P41">IFERROR(INDEX(_xlfn._xlws.FILTER(INDIRECT(P$1&amp;"!$E1:$E10000"),INDIRECT(P$1&amp;"!$a1:$a10000")=汇总!$A41),COUNTIF(INDIRECT(P$1&amp;"!$a1:$a10000"),汇总!$A41)),P40)</f>
        <v/>
      </c>
      <c r="Q41" s="563">
        <f t="array" ref="Q41">IFERROR(INDEX(_xlfn._xlws.FILTER(INDIRECT(Q$1&amp;"!$E1:$E10000"),INDIRECT(Q$1&amp;"!$a1:$a10000")=汇总!$A41),COUNTIF(INDIRECT(Q$1&amp;"!$a1:$a10000"),汇总!$A41)),Q40)</f>
        <v/>
      </c>
      <c r="R41" s="563">
        <f t="array" ref="R41">IFERROR(INDEX(_xlfn._xlws.FILTER(INDIRECT(R$1&amp;"!$E1:$E10000"),INDIRECT(R$1&amp;"!$a1:$a10000")=汇总!$A41),COUNTIF(INDIRECT(R$1&amp;"!$a1:$a10000"),汇总!$A41)),R40)</f>
        <v/>
      </c>
      <c r="S41" s="563">
        <f t="array" ref="S41">IFERROR(INDEX(_xlfn._xlws.FILTER(INDIRECT(S$1&amp;"!$E1:$E10000"),INDIRECT(S$1&amp;"!$a1:$a10000")=汇总!$A41),COUNTIF(INDIRECT(S$1&amp;"!$a1:$a10000"),汇总!$A41)),S40)</f>
        <v/>
      </c>
    </row>
    <row r="42" hidden="1" s="326">
      <c r="A42" s="1">
        <f>+A41+1</f>
        <v/>
      </c>
      <c r="B42" s="563">
        <f t="array" ref="B42">IFERROR(INDEX(_xlfn._xlws.FILTER(INDIRECT(B$1&amp;"!$E1:$E10000"),INDIRECT(B$1&amp;"!$a1:$a10000")=汇总!$A42),COUNTIF(INDIRECT(B$1&amp;"!$a1:$a10000"),汇总!$A42)),B41)</f>
        <v/>
      </c>
      <c r="C42" s="563">
        <f t="array" ref="C42">IFERROR(INDEX(_xlfn._xlws.FILTER(INDIRECT(C$1&amp;"!$E1:$E10000"),INDIRECT(C$1&amp;"!$a1:$a10000")=汇总!$A42),COUNTIF(INDIRECT(C$1&amp;"!$a1:$a10000"),汇总!$A42)),C41)</f>
        <v/>
      </c>
      <c r="D42" s="563">
        <f t="array" ref="D42">IFERROR(INDEX(_xlfn._xlws.FILTER(INDIRECT(D$1&amp;"!$E1:$E10000"),INDIRECT(D$1&amp;"!$a1:$a10000")=汇总!$A42),COUNTIF(INDIRECT(D$1&amp;"!$a1:$a10000"),汇总!$A42)),D41)</f>
        <v/>
      </c>
      <c r="E42" s="563">
        <f t="array" ref="E42">IFERROR(INDEX(_xlfn._xlws.FILTER(INDIRECT(E$1&amp;"!$E1:$E10000"),INDIRECT(E$1&amp;"!$a1:$a10000")=汇总!$A42),COUNTIF(INDIRECT(E$1&amp;"!$a1:$a10000"),汇总!$A42)),E41)</f>
        <v/>
      </c>
      <c r="F42" s="563">
        <f t="array" ref="F42">IFERROR(INDEX(_xlfn._xlws.FILTER(INDIRECT(F$1&amp;"!$E1:$E10000"),INDIRECT(F$1&amp;"!$a1:$a10000")=汇总!$A42),COUNTIF(INDIRECT(F$1&amp;"!$a1:$a10000"),汇总!$A42)),F41)</f>
        <v/>
      </c>
      <c r="G42" s="563">
        <f t="array" ref="G42">IFERROR(INDEX(_xlfn._xlws.FILTER(INDIRECT(G$1&amp;"!$E1:$E10000"),INDIRECT(G$1&amp;"!$a1:$a10000")=汇总!$A42),COUNTIF(INDIRECT(G$1&amp;"!$a1:$a10000"),汇总!$A42)),G41)</f>
        <v/>
      </c>
      <c r="H42" s="563">
        <f t="array" ref="H42">IFERROR(INDEX(_xlfn._xlws.FILTER(INDIRECT(H$1&amp;"!$E1:$E10000"),INDIRECT(H$1&amp;"!$a1:$a10000")=汇总!$A42),COUNTIF(INDIRECT(H$1&amp;"!$a1:$a10000"),汇总!$A42)),H41)</f>
        <v/>
      </c>
      <c r="I42" s="563">
        <f t="array" ref="I42">IFERROR(INDEX(_xlfn._xlws.FILTER(INDIRECT(I$1&amp;"!$E1:$E10000"),INDIRECT(I$1&amp;"!$a1:$a10000")=汇总!$A42),COUNTIF(INDIRECT(I$1&amp;"!$a1:$a10000"),汇总!$A42)),I41)</f>
        <v/>
      </c>
      <c r="J42" s="563">
        <f t="array" ref="J42">IFERROR(INDEX(_xlfn._xlws.FILTER(INDIRECT(J$1&amp;"!$E1:$E10000"),INDIRECT(J$1&amp;"!$a1:$a10000")=汇总!$A42),COUNTIF(INDIRECT(J$1&amp;"!$a1:$a10000"),汇总!$A42)),J41)</f>
        <v/>
      </c>
      <c r="K42" s="563">
        <f t="array" ref="K42">IFERROR(INDEX(_xlfn._xlws.FILTER(INDIRECT(K$1&amp;"!$E1:$E10000"),INDIRECT(K$1&amp;"!$a1:$a10000")=汇总!$A42),COUNTIF(INDIRECT(K$1&amp;"!$a1:$a10000"),汇总!$A42)),K41)</f>
        <v/>
      </c>
      <c r="L42" s="563">
        <f t="array" ref="L42">IFERROR(INDEX(_xlfn._xlws.FILTER(INDIRECT(L$1&amp;"!$E1:$E10000"),INDIRECT(L$1&amp;"!$a1:$a10000")=汇总!$A42),COUNTIF(INDIRECT(L$1&amp;"!$a1:$a10000"),汇总!$A42)),L41)</f>
        <v/>
      </c>
      <c r="M42" s="563">
        <f t="array" ref="M42">IFERROR(INDEX(_xlfn._xlws.FILTER(INDIRECT(M$1&amp;"!$E1:$E10000"),INDIRECT(M$1&amp;"!$a1:$a10000")=汇总!$A42),COUNTIF(INDIRECT(M$1&amp;"!$a1:$a10000"),汇总!$A42)),M41)</f>
        <v/>
      </c>
      <c r="N42" s="563">
        <f t="array" ref="N42">IFERROR(INDEX(_xlfn._xlws.FILTER(INDIRECT(N$1&amp;"!$E1:$E10000"),INDIRECT(N$1&amp;"!$a1:$a10000")=汇总!$A42),COUNTIF(INDIRECT(N$1&amp;"!$a1:$a10000"),汇总!$A42)),N41)</f>
        <v/>
      </c>
      <c r="O42" s="563">
        <f t="array" ref="O42">IFERROR(INDEX(_xlfn._xlws.FILTER(INDIRECT(O$1&amp;"!$E1:$E10000"),INDIRECT(O$1&amp;"!$a1:$a10000")=汇总!$A42),COUNTIF(INDIRECT(O$1&amp;"!$a1:$a10000"),汇总!$A42)),O41)</f>
        <v/>
      </c>
      <c r="P42" s="563">
        <f t="array" ref="P42">IFERROR(INDEX(_xlfn._xlws.FILTER(INDIRECT(P$1&amp;"!$E1:$E10000"),INDIRECT(P$1&amp;"!$a1:$a10000")=汇总!$A42),COUNTIF(INDIRECT(P$1&amp;"!$a1:$a10000"),汇总!$A42)),P41)</f>
        <v/>
      </c>
      <c r="Q42" s="563">
        <f t="array" ref="Q42">IFERROR(INDEX(_xlfn._xlws.FILTER(INDIRECT(Q$1&amp;"!$E1:$E10000"),INDIRECT(Q$1&amp;"!$a1:$a10000")=汇总!$A42),COUNTIF(INDIRECT(Q$1&amp;"!$a1:$a10000"),汇总!$A42)),Q41)</f>
        <v/>
      </c>
      <c r="R42" s="563">
        <f t="array" ref="R42">IFERROR(INDEX(_xlfn._xlws.FILTER(INDIRECT(R$1&amp;"!$E1:$E10000"),INDIRECT(R$1&amp;"!$a1:$a10000")=汇总!$A42),COUNTIF(INDIRECT(R$1&amp;"!$a1:$a10000"),汇总!$A42)),R41)</f>
        <v/>
      </c>
      <c r="S42" s="563">
        <f t="array" ref="S42">IFERROR(INDEX(_xlfn._xlws.FILTER(INDIRECT(S$1&amp;"!$E1:$E10000"),INDIRECT(S$1&amp;"!$a1:$a10000")=汇总!$A42),COUNTIF(INDIRECT(S$1&amp;"!$a1:$a10000"),汇总!$A42)),S41)</f>
        <v/>
      </c>
    </row>
    <row r="43" hidden="1" s="326">
      <c r="A43" s="1">
        <f>+A42+1</f>
        <v/>
      </c>
      <c r="B43" s="563">
        <f t="array" ref="B43">IFERROR(INDEX(_xlfn._xlws.FILTER(INDIRECT(B$1&amp;"!$E1:$E10000"),INDIRECT(B$1&amp;"!$a1:$a10000")=汇总!$A43),COUNTIF(INDIRECT(B$1&amp;"!$a1:$a10000"),汇总!$A43)),B42)</f>
        <v/>
      </c>
      <c r="C43" s="563">
        <f t="array" ref="C43">IFERROR(INDEX(_xlfn._xlws.FILTER(INDIRECT(C$1&amp;"!$E1:$E10000"),INDIRECT(C$1&amp;"!$a1:$a10000")=汇总!$A43),COUNTIF(INDIRECT(C$1&amp;"!$a1:$a10000"),汇总!$A43)),C42)</f>
        <v/>
      </c>
      <c r="D43" s="563">
        <f t="array" ref="D43">IFERROR(INDEX(_xlfn._xlws.FILTER(INDIRECT(D$1&amp;"!$E1:$E10000"),INDIRECT(D$1&amp;"!$a1:$a10000")=汇总!$A43),COUNTIF(INDIRECT(D$1&amp;"!$a1:$a10000"),汇总!$A43)),D42)</f>
        <v/>
      </c>
      <c r="E43" s="563">
        <f t="array" ref="E43">IFERROR(INDEX(_xlfn._xlws.FILTER(INDIRECT(E$1&amp;"!$E1:$E10000"),INDIRECT(E$1&amp;"!$a1:$a10000")=汇总!$A43),COUNTIF(INDIRECT(E$1&amp;"!$a1:$a10000"),汇总!$A43)),E42)</f>
        <v/>
      </c>
      <c r="F43" s="563">
        <f t="array" ref="F43">IFERROR(INDEX(_xlfn._xlws.FILTER(INDIRECT(F$1&amp;"!$E1:$E10000"),INDIRECT(F$1&amp;"!$a1:$a10000")=汇总!$A43),COUNTIF(INDIRECT(F$1&amp;"!$a1:$a10000"),汇总!$A43)),F42)</f>
        <v/>
      </c>
      <c r="G43" s="563">
        <f t="array" ref="G43">IFERROR(INDEX(_xlfn._xlws.FILTER(INDIRECT(G$1&amp;"!$E1:$E10000"),INDIRECT(G$1&amp;"!$a1:$a10000")=汇总!$A43),COUNTIF(INDIRECT(G$1&amp;"!$a1:$a10000"),汇总!$A43)),G42)</f>
        <v/>
      </c>
      <c r="H43" s="563">
        <f t="array" ref="H43">IFERROR(INDEX(_xlfn._xlws.FILTER(INDIRECT(H$1&amp;"!$E1:$E10000"),INDIRECT(H$1&amp;"!$a1:$a10000")=汇总!$A43),COUNTIF(INDIRECT(H$1&amp;"!$a1:$a10000"),汇总!$A43)),H42)</f>
        <v/>
      </c>
      <c r="I43" s="563">
        <f t="array" ref="I43">IFERROR(INDEX(_xlfn._xlws.FILTER(INDIRECT(I$1&amp;"!$E1:$E10000"),INDIRECT(I$1&amp;"!$a1:$a10000")=汇总!$A43),COUNTIF(INDIRECT(I$1&amp;"!$a1:$a10000"),汇总!$A43)),I42)</f>
        <v/>
      </c>
      <c r="J43" s="563">
        <f t="array" ref="J43">IFERROR(INDEX(_xlfn._xlws.FILTER(INDIRECT(J$1&amp;"!$E1:$E10000"),INDIRECT(J$1&amp;"!$a1:$a10000")=汇总!$A43),COUNTIF(INDIRECT(J$1&amp;"!$a1:$a10000"),汇总!$A43)),J42)</f>
        <v/>
      </c>
      <c r="K43" s="563">
        <f t="array" ref="K43">IFERROR(INDEX(_xlfn._xlws.FILTER(INDIRECT(K$1&amp;"!$E1:$E10000"),INDIRECT(K$1&amp;"!$a1:$a10000")=汇总!$A43),COUNTIF(INDIRECT(K$1&amp;"!$a1:$a10000"),汇总!$A43)),K42)</f>
        <v/>
      </c>
      <c r="L43" s="563">
        <f t="array" ref="L43">IFERROR(INDEX(_xlfn._xlws.FILTER(INDIRECT(L$1&amp;"!$E1:$E10000"),INDIRECT(L$1&amp;"!$a1:$a10000")=汇总!$A43),COUNTIF(INDIRECT(L$1&amp;"!$a1:$a10000"),汇总!$A43)),L42)</f>
        <v/>
      </c>
      <c r="M43" s="563">
        <f t="array" ref="M43">IFERROR(INDEX(_xlfn._xlws.FILTER(INDIRECT(M$1&amp;"!$E1:$E10000"),INDIRECT(M$1&amp;"!$a1:$a10000")=汇总!$A43),COUNTIF(INDIRECT(M$1&amp;"!$a1:$a10000"),汇总!$A43)),M42)</f>
        <v/>
      </c>
      <c r="N43" s="563">
        <f t="array" ref="N43">IFERROR(INDEX(_xlfn._xlws.FILTER(INDIRECT(N$1&amp;"!$E1:$E10000"),INDIRECT(N$1&amp;"!$a1:$a10000")=汇总!$A43),COUNTIF(INDIRECT(N$1&amp;"!$a1:$a10000"),汇总!$A43)),N42)</f>
        <v/>
      </c>
      <c r="O43" s="563">
        <f t="array" ref="O43">IFERROR(INDEX(_xlfn._xlws.FILTER(INDIRECT(O$1&amp;"!$E1:$E10000"),INDIRECT(O$1&amp;"!$a1:$a10000")=汇总!$A43),COUNTIF(INDIRECT(O$1&amp;"!$a1:$a10000"),汇总!$A43)),O42)</f>
        <v/>
      </c>
      <c r="P43" s="563">
        <f t="array" ref="P43">IFERROR(INDEX(_xlfn._xlws.FILTER(INDIRECT(P$1&amp;"!$E1:$E10000"),INDIRECT(P$1&amp;"!$a1:$a10000")=汇总!$A43),COUNTIF(INDIRECT(P$1&amp;"!$a1:$a10000"),汇总!$A43)),P42)</f>
        <v/>
      </c>
      <c r="Q43" s="563">
        <f t="array" ref="Q43">IFERROR(INDEX(_xlfn._xlws.FILTER(INDIRECT(Q$1&amp;"!$E1:$E10000"),INDIRECT(Q$1&amp;"!$a1:$a10000")=汇总!$A43),COUNTIF(INDIRECT(Q$1&amp;"!$a1:$a10000"),汇总!$A43)),Q42)</f>
        <v/>
      </c>
      <c r="R43" s="563">
        <f t="array" ref="R43">IFERROR(INDEX(_xlfn._xlws.FILTER(INDIRECT(R$1&amp;"!$E1:$E10000"),INDIRECT(R$1&amp;"!$a1:$a10000")=汇总!$A43),COUNTIF(INDIRECT(R$1&amp;"!$a1:$a10000"),汇总!$A43)),R42)</f>
        <v/>
      </c>
      <c r="S43" s="563">
        <f t="array" ref="S43">IFERROR(INDEX(_xlfn._xlws.FILTER(INDIRECT(S$1&amp;"!$E1:$E10000"),INDIRECT(S$1&amp;"!$a1:$a10000")=汇总!$A43),COUNTIF(INDIRECT(S$1&amp;"!$a1:$a10000"),汇总!$A43)),S42)</f>
        <v/>
      </c>
    </row>
    <row r="44" hidden="1" s="326">
      <c r="A44" s="1">
        <f>+A43+1</f>
        <v/>
      </c>
      <c r="B44" s="563">
        <f t="array" ref="B44">IFERROR(INDEX(_xlfn._xlws.FILTER(INDIRECT(B$1&amp;"!$E1:$E10000"),INDIRECT(B$1&amp;"!$a1:$a10000")=汇总!$A44),COUNTIF(INDIRECT(B$1&amp;"!$a1:$a10000"),汇总!$A44)),B43)</f>
        <v/>
      </c>
      <c r="C44" s="563">
        <f t="array" ref="C44">IFERROR(INDEX(_xlfn._xlws.FILTER(INDIRECT(C$1&amp;"!$E1:$E10000"),INDIRECT(C$1&amp;"!$a1:$a10000")=汇总!$A44),COUNTIF(INDIRECT(C$1&amp;"!$a1:$a10000"),汇总!$A44)),C43)</f>
        <v/>
      </c>
      <c r="D44" s="563">
        <f t="array" ref="D44">IFERROR(INDEX(_xlfn._xlws.FILTER(INDIRECT(D$1&amp;"!$E1:$E10000"),INDIRECT(D$1&amp;"!$a1:$a10000")=汇总!$A44),COUNTIF(INDIRECT(D$1&amp;"!$a1:$a10000"),汇总!$A44)),D43)</f>
        <v/>
      </c>
      <c r="E44" s="563">
        <f t="array" ref="E44">IFERROR(INDEX(_xlfn._xlws.FILTER(INDIRECT(E$1&amp;"!$E1:$E10000"),INDIRECT(E$1&amp;"!$a1:$a10000")=汇总!$A44),COUNTIF(INDIRECT(E$1&amp;"!$a1:$a10000"),汇总!$A44)),E43)</f>
        <v/>
      </c>
      <c r="F44" s="563">
        <f t="array" ref="F44">IFERROR(INDEX(_xlfn._xlws.FILTER(INDIRECT(F$1&amp;"!$E1:$E10000"),INDIRECT(F$1&amp;"!$a1:$a10000")=汇总!$A44),COUNTIF(INDIRECT(F$1&amp;"!$a1:$a10000"),汇总!$A44)),F43)</f>
        <v/>
      </c>
      <c r="G44" s="563">
        <f t="array" ref="G44">IFERROR(INDEX(_xlfn._xlws.FILTER(INDIRECT(G$1&amp;"!$E1:$E10000"),INDIRECT(G$1&amp;"!$a1:$a10000")=汇总!$A44),COUNTIF(INDIRECT(G$1&amp;"!$a1:$a10000"),汇总!$A44)),G43)</f>
        <v/>
      </c>
      <c r="H44" s="563">
        <f t="array" ref="H44">IFERROR(INDEX(_xlfn._xlws.FILTER(INDIRECT(H$1&amp;"!$E1:$E10000"),INDIRECT(H$1&amp;"!$a1:$a10000")=汇总!$A44),COUNTIF(INDIRECT(H$1&amp;"!$a1:$a10000"),汇总!$A44)),H43)</f>
        <v/>
      </c>
      <c r="I44" s="563">
        <f t="array" ref="I44">IFERROR(INDEX(_xlfn._xlws.FILTER(INDIRECT(I$1&amp;"!$E1:$E10000"),INDIRECT(I$1&amp;"!$a1:$a10000")=汇总!$A44),COUNTIF(INDIRECT(I$1&amp;"!$a1:$a10000"),汇总!$A44)),I43)</f>
        <v/>
      </c>
      <c r="J44" s="563">
        <f t="array" ref="J44">IFERROR(INDEX(_xlfn._xlws.FILTER(INDIRECT(J$1&amp;"!$E1:$E10000"),INDIRECT(J$1&amp;"!$a1:$a10000")=汇总!$A44),COUNTIF(INDIRECT(J$1&amp;"!$a1:$a10000"),汇总!$A44)),J43)</f>
        <v/>
      </c>
      <c r="K44" s="563">
        <f t="array" ref="K44">IFERROR(INDEX(_xlfn._xlws.FILTER(INDIRECT(K$1&amp;"!$E1:$E10000"),INDIRECT(K$1&amp;"!$a1:$a10000")=汇总!$A44),COUNTIF(INDIRECT(K$1&amp;"!$a1:$a10000"),汇总!$A44)),K43)</f>
        <v/>
      </c>
      <c r="L44" s="563">
        <f t="array" ref="L44">IFERROR(INDEX(_xlfn._xlws.FILTER(INDIRECT(L$1&amp;"!$E1:$E10000"),INDIRECT(L$1&amp;"!$a1:$a10000")=汇总!$A44),COUNTIF(INDIRECT(L$1&amp;"!$a1:$a10000"),汇总!$A44)),L43)</f>
        <v/>
      </c>
      <c r="M44" s="563">
        <f t="array" ref="M44">IFERROR(INDEX(_xlfn._xlws.FILTER(INDIRECT(M$1&amp;"!$E1:$E10000"),INDIRECT(M$1&amp;"!$a1:$a10000")=汇总!$A44),COUNTIF(INDIRECT(M$1&amp;"!$a1:$a10000"),汇总!$A44)),M43)</f>
        <v/>
      </c>
      <c r="N44" s="563">
        <f t="array" ref="N44">IFERROR(INDEX(_xlfn._xlws.FILTER(INDIRECT(N$1&amp;"!$E1:$E10000"),INDIRECT(N$1&amp;"!$a1:$a10000")=汇总!$A44),COUNTIF(INDIRECT(N$1&amp;"!$a1:$a10000"),汇总!$A44)),N43)</f>
        <v/>
      </c>
      <c r="O44" s="563">
        <f t="array" ref="O44">IFERROR(INDEX(_xlfn._xlws.FILTER(INDIRECT(O$1&amp;"!$E1:$E10000"),INDIRECT(O$1&amp;"!$a1:$a10000")=汇总!$A44),COUNTIF(INDIRECT(O$1&amp;"!$a1:$a10000"),汇总!$A44)),O43)</f>
        <v/>
      </c>
      <c r="P44" s="563">
        <f t="array" ref="P44">IFERROR(INDEX(_xlfn._xlws.FILTER(INDIRECT(P$1&amp;"!$E1:$E10000"),INDIRECT(P$1&amp;"!$a1:$a10000")=汇总!$A44),COUNTIF(INDIRECT(P$1&amp;"!$a1:$a10000"),汇总!$A44)),P43)</f>
        <v/>
      </c>
      <c r="Q44" s="563">
        <f t="array" ref="Q44">IFERROR(INDEX(_xlfn._xlws.FILTER(INDIRECT(Q$1&amp;"!$E1:$E10000"),INDIRECT(Q$1&amp;"!$a1:$a10000")=汇总!$A44),COUNTIF(INDIRECT(Q$1&amp;"!$a1:$a10000"),汇总!$A44)),Q43)</f>
        <v/>
      </c>
      <c r="R44" s="563">
        <f t="array" ref="R44">IFERROR(INDEX(_xlfn._xlws.FILTER(INDIRECT(R$1&amp;"!$E1:$E10000"),INDIRECT(R$1&amp;"!$a1:$a10000")=汇总!$A44),COUNTIF(INDIRECT(R$1&amp;"!$a1:$a10000"),汇总!$A44)),R43)</f>
        <v/>
      </c>
      <c r="S44" s="563">
        <f t="array" ref="S44">IFERROR(INDEX(_xlfn._xlws.FILTER(INDIRECT(S$1&amp;"!$E1:$E10000"),INDIRECT(S$1&amp;"!$a1:$a10000")=汇总!$A44),COUNTIF(INDIRECT(S$1&amp;"!$a1:$a10000"),汇总!$A44)),S43)</f>
        <v/>
      </c>
    </row>
    <row r="45" hidden="1" s="326">
      <c r="A45" s="1">
        <f>+A44+1</f>
        <v/>
      </c>
      <c r="B45" s="563">
        <f t="array" ref="B45">IFERROR(INDEX(_xlfn._xlws.FILTER(INDIRECT(B$1&amp;"!$E1:$E10000"),INDIRECT(B$1&amp;"!$a1:$a10000")=汇总!$A45),COUNTIF(INDIRECT(B$1&amp;"!$a1:$a10000"),汇总!$A45)),B44)</f>
        <v/>
      </c>
      <c r="C45" s="563">
        <f t="array" ref="C45">IFERROR(INDEX(_xlfn._xlws.FILTER(INDIRECT(C$1&amp;"!$E1:$E10000"),INDIRECT(C$1&amp;"!$a1:$a10000")=汇总!$A45),COUNTIF(INDIRECT(C$1&amp;"!$a1:$a10000"),汇总!$A45)),C44)</f>
        <v/>
      </c>
      <c r="D45" s="563">
        <f t="array" ref="D45">IFERROR(INDEX(_xlfn._xlws.FILTER(INDIRECT(D$1&amp;"!$E1:$E10000"),INDIRECT(D$1&amp;"!$a1:$a10000")=汇总!$A45),COUNTIF(INDIRECT(D$1&amp;"!$a1:$a10000"),汇总!$A45)),D44)</f>
        <v/>
      </c>
      <c r="E45" s="563">
        <f t="array" ref="E45">IFERROR(INDEX(_xlfn._xlws.FILTER(INDIRECT(E$1&amp;"!$E1:$E10000"),INDIRECT(E$1&amp;"!$a1:$a10000")=汇总!$A45),COUNTIF(INDIRECT(E$1&amp;"!$a1:$a10000"),汇总!$A45)),E44)</f>
        <v/>
      </c>
      <c r="F45" s="563">
        <f t="array" ref="F45">IFERROR(INDEX(_xlfn._xlws.FILTER(INDIRECT(F$1&amp;"!$E1:$E10000"),INDIRECT(F$1&amp;"!$a1:$a10000")=汇总!$A45),COUNTIF(INDIRECT(F$1&amp;"!$a1:$a10000"),汇总!$A45)),F44)</f>
        <v/>
      </c>
      <c r="G45" s="563">
        <f t="array" ref="G45">IFERROR(INDEX(_xlfn._xlws.FILTER(INDIRECT(G$1&amp;"!$E1:$E10000"),INDIRECT(G$1&amp;"!$a1:$a10000")=汇总!$A45),COUNTIF(INDIRECT(G$1&amp;"!$a1:$a10000"),汇总!$A45)),G44)</f>
        <v/>
      </c>
      <c r="H45" s="563">
        <f t="array" ref="H45">IFERROR(INDEX(_xlfn._xlws.FILTER(INDIRECT(H$1&amp;"!$E1:$E10000"),INDIRECT(H$1&amp;"!$a1:$a10000")=汇总!$A45),COUNTIF(INDIRECT(H$1&amp;"!$a1:$a10000"),汇总!$A45)),H44)</f>
        <v/>
      </c>
      <c r="I45" s="563">
        <f t="array" ref="I45">IFERROR(INDEX(_xlfn._xlws.FILTER(INDIRECT(I$1&amp;"!$E1:$E10000"),INDIRECT(I$1&amp;"!$a1:$a10000")=汇总!$A45),COUNTIF(INDIRECT(I$1&amp;"!$a1:$a10000"),汇总!$A45)),I44)</f>
        <v/>
      </c>
      <c r="J45" s="563">
        <f t="array" ref="J45">IFERROR(INDEX(_xlfn._xlws.FILTER(INDIRECT(J$1&amp;"!$E1:$E10000"),INDIRECT(J$1&amp;"!$a1:$a10000")=汇总!$A45),COUNTIF(INDIRECT(J$1&amp;"!$a1:$a10000"),汇总!$A45)),J44)</f>
        <v/>
      </c>
      <c r="K45" s="563">
        <f t="array" ref="K45">IFERROR(INDEX(_xlfn._xlws.FILTER(INDIRECT(K$1&amp;"!$E1:$E10000"),INDIRECT(K$1&amp;"!$a1:$a10000")=汇总!$A45),COUNTIF(INDIRECT(K$1&amp;"!$a1:$a10000"),汇总!$A45)),K44)</f>
        <v/>
      </c>
      <c r="L45" s="563">
        <f t="array" ref="L45">IFERROR(INDEX(_xlfn._xlws.FILTER(INDIRECT(L$1&amp;"!$E1:$E10000"),INDIRECT(L$1&amp;"!$a1:$a10000")=汇总!$A45),COUNTIF(INDIRECT(L$1&amp;"!$a1:$a10000"),汇总!$A45)),L44)</f>
        <v/>
      </c>
      <c r="M45" s="563">
        <f t="array" ref="M45">IFERROR(INDEX(_xlfn._xlws.FILTER(INDIRECT(M$1&amp;"!$E1:$E10000"),INDIRECT(M$1&amp;"!$a1:$a10000")=汇总!$A45),COUNTIF(INDIRECT(M$1&amp;"!$a1:$a10000"),汇总!$A45)),M44)</f>
        <v/>
      </c>
      <c r="N45" s="563">
        <f t="array" ref="N45">IFERROR(INDEX(_xlfn._xlws.FILTER(INDIRECT(N$1&amp;"!$E1:$E10000"),INDIRECT(N$1&amp;"!$a1:$a10000")=汇总!$A45),COUNTIF(INDIRECT(N$1&amp;"!$a1:$a10000"),汇总!$A45)),N44)</f>
        <v/>
      </c>
      <c r="O45" s="563">
        <f t="array" ref="O45">IFERROR(INDEX(_xlfn._xlws.FILTER(INDIRECT(O$1&amp;"!$E1:$E10000"),INDIRECT(O$1&amp;"!$a1:$a10000")=汇总!$A45),COUNTIF(INDIRECT(O$1&amp;"!$a1:$a10000"),汇总!$A45)),O44)</f>
        <v/>
      </c>
      <c r="P45" s="563">
        <f t="array" ref="P45">IFERROR(INDEX(_xlfn._xlws.FILTER(INDIRECT(P$1&amp;"!$E1:$E10000"),INDIRECT(P$1&amp;"!$a1:$a10000")=汇总!$A45),COUNTIF(INDIRECT(P$1&amp;"!$a1:$a10000"),汇总!$A45)),P44)</f>
        <v/>
      </c>
      <c r="Q45" s="563">
        <f t="array" ref="Q45">IFERROR(INDEX(_xlfn._xlws.FILTER(INDIRECT(Q$1&amp;"!$E1:$E10000"),INDIRECT(Q$1&amp;"!$a1:$a10000")=汇总!$A45),COUNTIF(INDIRECT(Q$1&amp;"!$a1:$a10000"),汇总!$A45)),Q44)</f>
        <v/>
      </c>
      <c r="R45" s="563">
        <f t="array" ref="R45">IFERROR(INDEX(_xlfn._xlws.FILTER(INDIRECT(R$1&amp;"!$E1:$E10000"),INDIRECT(R$1&amp;"!$a1:$a10000")=汇总!$A45),COUNTIF(INDIRECT(R$1&amp;"!$a1:$a10000"),汇总!$A45)),R44)</f>
        <v/>
      </c>
      <c r="S45" s="563">
        <f t="array" ref="S45">IFERROR(INDEX(_xlfn._xlws.FILTER(INDIRECT(S$1&amp;"!$E1:$E10000"),INDIRECT(S$1&amp;"!$a1:$a10000")=汇总!$A45),COUNTIF(INDIRECT(S$1&amp;"!$a1:$a10000"),汇总!$A45)),S44)</f>
        <v/>
      </c>
    </row>
    <row r="46" hidden="1" s="326">
      <c r="A46" s="1">
        <f>+A45+1</f>
        <v/>
      </c>
      <c r="B46" s="563">
        <f t="array" ref="B46">IFERROR(INDEX(_xlfn._xlws.FILTER(INDIRECT(B$1&amp;"!$E1:$E10000"),INDIRECT(B$1&amp;"!$a1:$a10000")=汇总!$A46),COUNTIF(INDIRECT(B$1&amp;"!$a1:$a10000"),汇总!$A46)),B45)</f>
        <v/>
      </c>
      <c r="C46" s="563">
        <f t="array" ref="C46">IFERROR(INDEX(_xlfn._xlws.FILTER(INDIRECT(C$1&amp;"!$E1:$E10000"),INDIRECT(C$1&amp;"!$a1:$a10000")=汇总!$A46),COUNTIF(INDIRECT(C$1&amp;"!$a1:$a10000"),汇总!$A46)),C45)</f>
        <v/>
      </c>
      <c r="D46" s="563">
        <f t="array" ref="D46">IFERROR(INDEX(_xlfn._xlws.FILTER(INDIRECT(D$1&amp;"!$E1:$E10000"),INDIRECT(D$1&amp;"!$a1:$a10000")=汇总!$A46),COUNTIF(INDIRECT(D$1&amp;"!$a1:$a10000"),汇总!$A46)),D45)</f>
        <v/>
      </c>
      <c r="E46" s="563">
        <f t="array" ref="E46">IFERROR(INDEX(_xlfn._xlws.FILTER(INDIRECT(E$1&amp;"!$E1:$E10000"),INDIRECT(E$1&amp;"!$a1:$a10000")=汇总!$A46),COUNTIF(INDIRECT(E$1&amp;"!$a1:$a10000"),汇总!$A46)),E45)</f>
        <v/>
      </c>
      <c r="F46" s="563">
        <f t="array" ref="F46">IFERROR(INDEX(_xlfn._xlws.FILTER(INDIRECT(F$1&amp;"!$E1:$E10000"),INDIRECT(F$1&amp;"!$a1:$a10000")=汇总!$A46),COUNTIF(INDIRECT(F$1&amp;"!$a1:$a10000"),汇总!$A46)),F45)</f>
        <v/>
      </c>
      <c r="G46" s="563">
        <f t="array" ref="G46">IFERROR(INDEX(_xlfn._xlws.FILTER(INDIRECT(G$1&amp;"!$E1:$E10000"),INDIRECT(G$1&amp;"!$a1:$a10000")=汇总!$A46),COUNTIF(INDIRECT(G$1&amp;"!$a1:$a10000"),汇总!$A46)),G45)</f>
        <v/>
      </c>
      <c r="H46" s="563">
        <f t="array" ref="H46">IFERROR(INDEX(_xlfn._xlws.FILTER(INDIRECT(H$1&amp;"!$E1:$E10000"),INDIRECT(H$1&amp;"!$a1:$a10000")=汇总!$A46),COUNTIF(INDIRECT(H$1&amp;"!$a1:$a10000"),汇总!$A46)),H45)</f>
        <v/>
      </c>
      <c r="I46" s="563">
        <f t="array" ref="I46">IFERROR(INDEX(_xlfn._xlws.FILTER(INDIRECT(I$1&amp;"!$E1:$E10000"),INDIRECT(I$1&amp;"!$a1:$a10000")=汇总!$A46),COUNTIF(INDIRECT(I$1&amp;"!$a1:$a10000"),汇总!$A46)),I45)</f>
        <v/>
      </c>
      <c r="J46" s="563">
        <f t="array" ref="J46">IFERROR(INDEX(_xlfn._xlws.FILTER(INDIRECT(J$1&amp;"!$E1:$E10000"),INDIRECT(J$1&amp;"!$a1:$a10000")=汇总!$A46),COUNTIF(INDIRECT(J$1&amp;"!$a1:$a10000"),汇总!$A46)),J45)</f>
        <v/>
      </c>
      <c r="K46" s="563">
        <f t="array" ref="K46">IFERROR(INDEX(_xlfn._xlws.FILTER(INDIRECT(K$1&amp;"!$E1:$E10000"),INDIRECT(K$1&amp;"!$a1:$a10000")=汇总!$A46),COUNTIF(INDIRECT(K$1&amp;"!$a1:$a10000"),汇总!$A46)),K45)</f>
        <v/>
      </c>
      <c r="L46" s="563">
        <f t="array" ref="L46">IFERROR(INDEX(_xlfn._xlws.FILTER(INDIRECT(L$1&amp;"!$E1:$E10000"),INDIRECT(L$1&amp;"!$a1:$a10000")=汇总!$A46),COUNTIF(INDIRECT(L$1&amp;"!$a1:$a10000"),汇总!$A46)),L45)</f>
        <v/>
      </c>
      <c r="M46" s="563">
        <f t="array" ref="M46">IFERROR(INDEX(_xlfn._xlws.FILTER(INDIRECT(M$1&amp;"!$E1:$E10000"),INDIRECT(M$1&amp;"!$a1:$a10000")=汇总!$A46),COUNTIF(INDIRECT(M$1&amp;"!$a1:$a10000"),汇总!$A46)),M45)</f>
        <v/>
      </c>
      <c r="N46" s="563">
        <f t="array" ref="N46">IFERROR(INDEX(_xlfn._xlws.FILTER(INDIRECT(N$1&amp;"!$E1:$E10000"),INDIRECT(N$1&amp;"!$a1:$a10000")=汇总!$A46),COUNTIF(INDIRECT(N$1&amp;"!$a1:$a10000"),汇总!$A46)),N45)</f>
        <v/>
      </c>
      <c r="O46" s="563">
        <f t="array" ref="O46">IFERROR(INDEX(_xlfn._xlws.FILTER(INDIRECT(O$1&amp;"!$E1:$E10000"),INDIRECT(O$1&amp;"!$a1:$a10000")=汇总!$A46),COUNTIF(INDIRECT(O$1&amp;"!$a1:$a10000"),汇总!$A46)),O45)</f>
        <v/>
      </c>
      <c r="P46" s="563">
        <f t="array" ref="P46">IFERROR(INDEX(_xlfn._xlws.FILTER(INDIRECT(P$1&amp;"!$E1:$E10000"),INDIRECT(P$1&amp;"!$a1:$a10000")=汇总!$A46),COUNTIF(INDIRECT(P$1&amp;"!$a1:$a10000"),汇总!$A46)),P45)</f>
        <v/>
      </c>
      <c r="Q46" s="563">
        <f t="array" ref="Q46">IFERROR(INDEX(_xlfn._xlws.FILTER(INDIRECT(Q$1&amp;"!$E1:$E10000"),INDIRECT(Q$1&amp;"!$a1:$a10000")=汇总!$A46),COUNTIF(INDIRECT(Q$1&amp;"!$a1:$a10000"),汇总!$A46)),Q45)</f>
        <v/>
      </c>
      <c r="R46" s="563">
        <f t="array" ref="R46">IFERROR(INDEX(_xlfn._xlws.FILTER(INDIRECT(R$1&amp;"!$E1:$E10000"),INDIRECT(R$1&amp;"!$a1:$a10000")=汇总!$A46),COUNTIF(INDIRECT(R$1&amp;"!$a1:$a10000"),汇总!$A46)),R45)</f>
        <v/>
      </c>
      <c r="S46" s="563">
        <f t="array" ref="S46">IFERROR(INDEX(_xlfn._xlws.FILTER(INDIRECT(S$1&amp;"!$E1:$E10000"),INDIRECT(S$1&amp;"!$a1:$a10000")=汇总!$A46),COUNTIF(INDIRECT(S$1&amp;"!$a1:$a10000"),汇总!$A46)),S45)</f>
        <v/>
      </c>
    </row>
    <row r="47" hidden="1" s="326">
      <c r="A47" s="1">
        <f>+A46+1</f>
        <v/>
      </c>
      <c r="B47" s="563">
        <f t="array" ref="B47">IFERROR(INDEX(_xlfn._xlws.FILTER(INDIRECT(B$1&amp;"!$E1:$E10000"),INDIRECT(B$1&amp;"!$a1:$a10000")=汇总!$A47),COUNTIF(INDIRECT(B$1&amp;"!$a1:$a10000"),汇总!$A47)),B46)</f>
        <v/>
      </c>
      <c r="C47" s="563">
        <f t="array" ref="C47">IFERROR(INDEX(_xlfn._xlws.FILTER(INDIRECT(C$1&amp;"!$E1:$E10000"),INDIRECT(C$1&amp;"!$a1:$a10000")=汇总!$A47),COUNTIF(INDIRECT(C$1&amp;"!$a1:$a10000"),汇总!$A47)),C46)</f>
        <v/>
      </c>
      <c r="D47" s="563">
        <f t="array" ref="D47">IFERROR(INDEX(_xlfn._xlws.FILTER(INDIRECT(D$1&amp;"!$E1:$E10000"),INDIRECT(D$1&amp;"!$a1:$a10000")=汇总!$A47),COUNTIF(INDIRECT(D$1&amp;"!$a1:$a10000"),汇总!$A47)),D46)</f>
        <v/>
      </c>
      <c r="E47" s="563">
        <f t="array" ref="E47">IFERROR(INDEX(_xlfn._xlws.FILTER(INDIRECT(E$1&amp;"!$E1:$E10000"),INDIRECT(E$1&amp;"!$a1:$a10000")=汇总!$A47),COUNTIF(INDIRECT(E$1&amp;"!$a1:$a10000"),汇总!$A47)),E46)</f>
        <v/>
      </c>
      <c r="F47" s="563">
        <f t="array" ref="F47">IFERROR(INDEX(_xlfn._xlws.FILTER(INDIRECT(F$1&amp;"!$E1:$E10000"),INDIRECT(F$1&amp;"!$a1:$a10000")=汇总!$A47),COUNTIF(INDIRECT(F$1&amp;"!$a1:$a10000"),汇总!$A47)),F46)</f>
        <v/>
      </c>
      <c r="G47" s="563">
        <f t="array" ref="G47">IFERROR(INDEX(_xlfn._xlws.FILTER(INDIRECT(G$1&amp;"!$E1:$E10000"),INDIRECT(G$1&amp;"!$a1:$a10000")=汇总!$A47),COUNTIF(INDIRECT(G$1&amp;"!$a1:$a10000"),汇总!$A47)),G46)</f>
        <v/>
      </c>
      <c r="H47" s="563">
        <f t="array" ref="H47">IFERROR(INDEX(_xlfn._xlws.FILTER(INDIRECT(H$1&amp;"!$E1:$E10000"),INDIRECT(H$1&amp;"!$a1:$a10000")=汇总!$A47),COUNTIF(INDIRECT(H$1&amp;"!$a1:$a10000"),汇总!$A47)),H46)</f>
        <v/>
      </c>
      <c r="I47" s="563">
        <f t="array" ref="I47">IFERROR(INDEX(_xlfn._xlws.FILTER(INDIRECT(I$1&amp;"!$E1:$E10000"),INDIRECT(I$1&amp;"!$a1:$a10000")=汇总!$A47),COUNTIF(INDIRECT(I$1&amp;"!$a1:$a10000"),汇总!$A47)),I46)</f>
        <v/>
      </c>
      <c r="J47" s="563">
        <f t="array" ref="J47">IFERROR(INDEX(_xlfn._xlws.FILTER(INDIRECT(J$1&amp;"!$E1:$E10000"),INDIRECT(J$1&amp;"!$a1:$a10000")=汇总!$A47),COUNTIF(INDIRECT(J$1&amp;"!$a1:$a10000"),汇总!$A47)),J46)</f>
        <v/>
      </c>
      <c r="K47" s="563">
        <f t="array" ref="K47">IFERROR(INDEX(_xlfn._xlws.FILTER(INDIRECT(K$1&amp;"!$E1:$E10000"),INDIRECT(K$1&amp;"!$a1:$a10000")=汇总!$A47),COUNTIF(INDIRECT(K$1&amp;"!$a1:$a10000"),汇总!$A47)),K46)</f>
        <v/>
      </c>
      <c r="L47" s="563">
        <f t="array" ref="L47">IFERROR(INDEX(_xlfn._xlws.FILTER(INDIRECT(L$1&amp;"!$E1:$E10000"),INDIRECT(L$1&amp;"!$a1:$a10000")=汇总!$A47),COUNTIF(INDIRECT(L$1&amp;"!$a1:$a10000"),汇总!$A47)),L46)</f>
        <v/>
      </c>
      <c r="M47" s="563">
        <f t="array" ref="M47">IFERROR(INDEX(_xlfn._xlws.FILTER(INDIRECT(M$1&amp;"!$E1:$E10000"),INDIRECT(M$1&amp;"!$a1:$a10000")=汇总!$A47),COUNTIF(INDIRECT(M$1&amp;"!$a1:$a10000"),汇总!$A47)),M46)</f>
        <v/>
      </c>
      <c r="N47" s="563">
        <f t="array" ref="N47">IFERROR(INDEX(_xlfn._xlws.FILTER(INDIRECT(N$1&amp;"!$E1:$E10000"),INDIRECT(N$1&amp;"!$a1:$a10000")=汇总!$A47),COUNTIF(INDIRECT(N$1&amp;"!$a1:$a10000"),汇总!$A47)),N46)</f>
        <v/>
      </c>
      <c r="O47" s="563">
        <f t="array" ref="O47">IFERROR(INDEX(_xlfn._xlws.FILTER(INDIRECT(O$1&amp;"!$E1:$E10000"),INDIRECT(O$1&amp;"!$a1:$a10000")=汇总!$A47),COUNTIF(INDIRECT(O$1&amp;"!$a1:$a10000"),汇总!$A47)),O46)</f>
        <v/>
      </c>
      <c r="P47" s="563">
        <f t="array" ref="P47">IFERROR(INDEX(_xlfn._xlws.FILTER(INDIRECT(P$1&amp;"!$E1:$E10000"),INDIRECT(P$1&amp;"!$a1:$a10000")=汇总!$A47),COUNTIF(INDIRECT(P$1&amp;"!$a1:$a10000"),汇总!$A47)),P46)</f>
        <v/>
      </c>
      <c r="Q47" s="563">
        <f t="array" ref="Q47">IFERROR(INDEX(_xlfn._xlws.FILTER(INDIRECT(Q$1&amp;"!$E1:$E10000"),INDIRECT(Q$1&amp;"!$a1:$a10000")=汇总!$A47),COUNTIF(INDIRECT(Q$1&amp;"!$a1:$a10000"),汇总!$A47)),Q46)</f>
        <v/>
      </c>
      <c r="R47" s="563">
        <f t="array" ref="R47">IFERROR(INDEX(_xlfn._xlws.FILTER(INDIRECT(R$1&amp;"!$E1:$E10000"),INDIRECT(R$1&amp;"!$a1:$a10000")=汇总!$A47),COUNTIF(INDIRECT(R$1&amp;"!$a1:$a10000"),汇总!$A47)),R46)</f>
        <v/>
      </c>
      <c r="S47" s="563">
        <f t="array" ref="S47">IFERROR(INDEX(_xlfn._xlws.FILTER(INDIRECT(S$1&amp;"!$E1:$E10000"),INDIRECT(S$1&amp;"!$a1:$a10000")=汇总!$A47),COUNTIF(INDIRECT(S$1&amp;"!$a1:$a10000"),汇总!$A47)),S46)</f>
        <v/>
      </c>
    </row>
    <row r="48" hidden="1" s="326">
      <c r="A48" s="1">
        <f>+A47+1</f>
        <v/>
      </c>
      <c r="B48" s="563">
        <f t="array" ref="B48">IFERROR(INDEX(_xlfn._xlws.FILTER(INDIRECT(B$1&amp;"!$E1:$E10000"),INDIRECT(B$1&amp;"!$a1:$a10000")=汇总!$A48),COUNTIF(INDIRECT(B$1&amp;"!$a1:$a10000"),汇总!$A48)),B47)</f>
        <v/>
      </c>
      <c r="C48" s="563">
        <f t="array" ref="C48">IFERROR(INDEX(_xlfn._xlws.FILTER(INDIRECT(C$1&amp;"!$E1:$E10000"),INDIRECT(C$1&amp;"!$a1:$a10000")=汇总!$A48),COUNTIF(INDIRECT(C$1&amp;"!$a1:$a10000"),汇总!$A48)),C47)</f>
        <v/>
      </c>
      <c r="D48" s="563">
        <f t="array" ref="D48">IFERROR(INDEX(_xlfn._xlws.FILTER(INDIRECT(D$1&amp;"!$E1:$E10000"),INDIRECT(D$1&amp;"!$a1:$a10000")=汇总!$A48),COUNTIF(INDIRECT(D$1&amp;"!$a1:$a10000"),汇总!$A48)),D47)</f>
        <v/>
      </c>
      <c r="E48" s="563">
        <f t="array" ref="E48">IFERROR(INDEX(_xlfn._xlws.FILTER(INDIRECT(E$1&amp;"!$E1:$E10000"),INDIRECT(E$1&amp;"!$a1:$a10000")=汇总!$A48),COUNTIF(INDIRECT(E$1&amp;"!$a1:$a10000"),汇总!$A48)),E47)</f>
        <v/>
      </c>
      <c r="F48" s="563">
        <f t="array" ref="F48">IFERROR(INDEX(_xlfn._xlws.FILTER(INDIRECT(F$1&amp;"!$E1:$E10000"),INDIRECT(F$1&amp;"!$a1:$a10000")=汇总!$A48),COUNTIF(INDIRECT(F$1&amp;"!$a1:$a10000"),汇总!$A48)),F47)</f>
        <v/>
      </c>
      <c r="G48" s="563">
        <f t="array" ref="G48">IFERROR(INDEX(_xlfn._xlws.FILTER(INDIRECT(G$1&amp;"!$E1:$E10000"),INDIRECT(G$1&amp;"!$a1:$a10000")=汇总!$A48),COUNTIF(INDIRECT(G$1&amp;"!$a1:$a10000"),汇总!$A48)),G47)</f>
        <v/>
      </c>
      <c r="H48" s="563">
        <f t="array" ref="H48">IFERROR(INDEX(_xlfn._xlws.FILTER(INDIRECT(H$1&amp;"!$E1:$E10000"),INDIRECT(H$1&amp;"!$a1:$a10000")=汇总!$A48),COUNTIF(INDIRECT(H$1&amp;"!$a1:$a10000"),汇总!$A48)),H47)</f>
        <v/>
      </c>
      <c r="I48" s="563">
        <f t="array" ref="I48">IFERROR(INDEX(_xlfn._xlws.FILTER(INDIRECT(I$1&amp;"!$E1:$E10000"),INDIRECT(I$1&amp;"!$a1:$a10000")=汇总!$A48),COUNTIF(INDIRECT(I$1&amp;"!$a1:$a10000"),汇总!$A48)),I47)</f>
        <v/>
      </c>
      <c r="J48" s="563">
        <f t="array" ref="J48">IFERROR(INDEX(_xlfn._xlws.FILTER(INDIRECT(J$1&amp;"!$E1:$E10000"),INDIRECT(J$1&amp;"!$a1:$a10000")=汇总!$A48),COUNTIF(INDIRECT(J$1&amp;"!$a1:$a10000"),汇总!$A48)),J47)</f>
        <v/>
      </c>
      <c r="K48" s="563">
        <f t="array" ref="K48">IFERROR(INDEX(_xlfn._xlws.FILTER(INDIRECT(K$1&amp;"!$E1:$E10000"),INDIRECT(K$1&amp;"!$a1:$a10000")=汇总!$A48),COUNTIF(INDIRECT(K$1&amp;"!$a1:$a10000"),汇总!$A48)),K47)</f>
        <v/>
      </c>
      <c r="L48" s="563">
        <f t="array" ref="L48">IFERROR(INDEX(_xlfn._xlws.FILTER(INDIRECT(L$1&amp;"!$E1:$E10000"),INDIRECT(L$1&amp;"!$a1:$a10000")=汇总!$A48),COUNTIF(INDIRECT(L$1&amp;"!$a1:$a10000"),汇总!$A48)),L47)</f>
        <v/>
      </c>
      <c r="M48" s="563">
        <f t="array" ref="M48">IFERROR(INDEX(_xlfn._xlws.FILTER(INDIRECT(M$1&amp;"!$E1:$E10000"),INDIRECT(M$1&amp;"!$a1:$a10000")=汇总!$A48),COUNTIF(INDIRECT(M$1&amp;"!$a1:$a10000"),汇总!$A48)),M47)</f>
        <v/>
      </c>
      <c r="N48" s="563">
        <f t="array" ref="N48">IFERROR(INDEX(_xlfn._xlws.FILTER(INDIRECT(N$1&amp;"!$E1:$E10000"),INDIRECT(N$1&amp;"!$a1:$a10000")=汇总!$A48),COUNTIF(INDIRECT(N$1&amp;"!$a1:$a10000"),汇总!$A48)),N47)</f>
        <v/>
      </c>
      <c r="O48" s="563">
        <f t="array" ref="O48">IFERROR(INDEX(_xlfn._xlws.FILTER(INDIRECT(O$1&amp;"!$E1:$E10000"),INDIRECT(O$1&amp;"!$a1:$a10000")=汇总!$A48),COUNTIF(INDIRECT(O$1&amp;"!$a1:$a10000"),汇总!$A48)),O47)</f>
        <v/>
      </c>
      <c r="P48" s="563">
        <f t="array" ref="P48">IFERROR(INDEX(_xlfn._xlws.FILTER(INDIRECT(P$1&amp;"!$E1:$E10000"),INDIRECT(P$1&amp;"!$a1:$a10000")=汇总!$A48),COUNTIF(INDIRECT(P$1&amp;"!$a1:$a10000"),汇总!$A48)),P47)</f>
        <v/>
      </c>
      <c r="Q48" s="563">
        <f t="array" ref="Q48">IFERROR(INDEX(_xlfn._xlws.FILTER(INDIRECT(Q$1&amp;"!$E1:$E10000"),INDIRECT(Q$1&amp;"!$a1:$a10000")=汇总!$A48),COUNTIF(INDIRECT(Q$1&amp;"!$a1:$a10000"),汇总!$A48)),Q47)</f>
        <v/>
      </c>
      <c r="R48" s="563">
        <f t="array" ref="R48">IFERROR(INDEX(_xlfn._xlws.FILTER(INDIRECT(R$1&amp;"!$E1:$E10000"),INDIRECT(R$1&amp;"!$a1:$a10000")=汇总!$A48),COUNTIF(INDIRECT(R$1&amp;"!$a1:$a10000"),汇总!$A48)),R47)</f>
        <v/>
      </c>
      <c r="S48" s="563">
        <f t="array" ref="S48">IFERROR(INDEX(_xlfn._xlws.FILTER(INDIRECT(S$1&amp;"!$E1:$E10000"),INDIRECT(S$1&amp;"!$a1:$a10000")=汇总!$A48),COUNTIF(INDIRECT(S$1&amp;"!$a1:$a10000"),汇总!$A48)),S47)</f>
        <v/>
      </c>
    </row>
    <row r="49" hidden="1" s="326">
      <c r="A49" s="1">
        <f>+A48+1</f>
        <v/>
      </c>
      <c r="B49" s="563">
        <f t="array" ref="B49">IFERROR(INDEX(_xlfn._xlws.FILTER(INDIRECT(B$1&amp;"!$E1:$E10000"),INDIRECT(B$1&amp;"!$a1:$a10000")=汇总!$A49),COUNTIF(INDIRECT(B$1&amp;"!$a1:$a10000"),汇总!$A49)),B48)</f>
        <v/>
      </c>
      <c r="C49" s="563">
        <f t="array" ref="C49">IFERROR(INDEX(_xlfn._xlws.FILTER(INDIRECT(C$1&amp;"!$E1:$E10000"),INDIRECT(C$1&amp;"!$a1:$a10000")=汇总!$A49),COUNTIF(INDIRECT(C$1&amp;"!$a1:$a10000"),汇总!$A49)),C48)</f>
        <v/>
      </c>
      <c r="D49" s="563">
        <f t="array" ref="D49">IFERROR(INDEX(_xlfn._xlws.FILTER(INDIRECT(D$1&amp;"!$E1:$E10000"),INDIRECT(D$1&amp;"!$a1:$a10000")=汇总!$A49),COUNTIF(INDIRECT(D$1&amp;"!$a1:$a10000"),汇总!$A49)),D48)</f>
        <v/>
      </c>
      <c r="E49" s="563">
        <f t="array" ref="E49">IFERROR(INDEX(_xlfn._xlws.FILTER(INDIRECT(E$1&amp;"!$E1:$E10000"),INDIRECT(E$1&amp;"!$a1:$a10000")=汇总!$A49),COUNTIF(INDIRECT(E$1&amp;"!$a1:$a10000"),汇总!$A49)),E48)</f>
        <v/>
      </c>
      <c r="F49" s="563">
        <f t="array" ref="F49">IFERROR(INDEX(_xlfn._xlws.FILTER(INDIRECT(F$1&amp;"!$E1:$E10000"),INDIRECT(F$1&amp;"!$a1:$a10000")=汇总!$A49),COUNTIF(INDIRECT(F$1&amp;"!$a1:$a10000"),汇总!$A49)),F48)</f>
        <v/>
      </c>
      <c r="G49" s="563">
        <f t="array" ref="G49">IFERROR(INDEX(_xlfn._xlws.FILTER(INDIRECT(G$1&amp;"!$E1:$E10000"),INDIRECT(G$1&amp;"!$a1:$a10000")=汇总!$A49),COUNTIF(INDIRECT(G$1&amp;"!$a1:$a10000"),汇总!$A49)),G48)</f>
        <v/>
      </c>
      <c r="H49" s="563">
        <f t="array" ref="H49">IFERROR(INDEX(_xlfn._xlws.FILTER(INDIRECT(H$1&amp;"!$E1:$E10000"),INDIRECT(H$1&amp;"!$a1:$a10000")=汇总!$A49),COUNTIF(INDIRECT(H$1&amp;"!$a1:$a10000"),汇总!$A49)),H48)</f>
        <v/>
      </c>
      <c r="I49" s="563">
        <f t="array" ref="I49">IFERROR(INDEX(_xlfn._xlws.FILTER(INDIRECT(I$1&amp;"!$E1:$E10000"),INDIRECT(I$1&amp;"!$a1:$a10000")=汇总!$A49),COUNTIF(INDIRECT(I$1&amp;"!$a1:$a10000"),汇总!$A49)),I48)</f>
        <v/>
      </c>
      <c r="J49" s="563">
        <f t="array" ref="J49">IFERROR(INDEX(_xlfn._xlws.FILTER(INDIRECT(J$1&amp;"!$E1:$E10000"),INDIRECT(J$1&amp;"!$a1:$a10000")=汇总!$A49),COUNTIF(INDIRECT(J$1&amp;"!$a1:$a10000"),汇总!$A49)),J48)</f>
        <v/>
      </c>
      <c r="K49" s="563">
        <f t="array" ref="K49">IFERROR(INDEX(_xlfn._xlws.FILTER(INDIRECT(K$1&amp;"!$E1:$E10000"),INDIRECT(K$1&amp;"!$a1:$a10000")=汇总!$A49),COUNTIF(INDIRECT(K$1&amp;"!$a1:$a10000"),汇总!$A49)),K48)</f>
        <v/>
      </c>
      <c r="L49" s="563">
        <f t="array" ref="L49">IFERROR(INDEX(_xlfn._xlws.FILTER(INDIRECT(L$1&amp;"!$E1:$E10000"),INDIRECT(L$1&amp;"!$a1:$a10000")=汇总!$A49),COUNTIF(INDIRECT(L$1&amp;"!$a1:$a10000"),汇总!$A49)),L48)</f>
        <v/>
      </c>
      <c r="M49" s="563">
        <f t="array" ref="M49">IFERROR(INDEX(_xlfn._xlws.FILTER(INDIRECT(M$1&amp;"!$E1:$E10000"),INDIRECT(M$1&amp;"!$a1:$a10000")=汇总!$A49),COUNTIF(INDIRECT(M$1&amp;"!$a1:$a10000"),汇总!$A49)),M48)</f>
        <v/>
      </c>
      <c r="N49" s="563">
        <f t="array" ref="N49">IFERROR(INDEX(_xlfn._xlws.FILTER(INDIRECT(N$1&amp;"!$E1:$E10000"),INDIRECT(N$1&amp;"!$a1:$a10000")=汇总!$A49),COUNTIF(INDIRECT(N$1&amp;"!$a1:$a10000"),汇总!$A49)),N48)</f>
        <v/>
      </c>
      <c r="O49" s="563">
        <f t="array" ref="O49">IFERROR(INDEX(_xlfn._xlws.FILTER(INDIRECT(O$1&amp;"!$E1:$E10000"),INDIRECT(O$1&amp;"!$a1:$a10000")=汇总!$A49),COUNTIF(INDIRECT(O$1&amp;"!$a1:$a10000"),汇总!$A49)),O48)</f>
        <v/>
      </c>
      <c r="P49" s="563">
        <f t="array" ref="P49">IFERROR(INDEX(_xlfn._xlws.FILTER(INDIRECT(P$1&amp;"!$E1:$E10000"),INDIRECT(P$1&amp;"!$a1:$a10000")=汇总!$A49),COUNTIF(INDIRECT(P$1&amp;"!$a1:$a10000"),汇总!$A49)),P48)</f>
        <v/>
      </c>
      <c r="Q49" s="563">
        <f t="array" ref="Q49">IFERROR(INDEX(_xlfn._xlws.FILTER(INDIRECT(Q$1&amp;"!$E1:$E10000"),INDIRECT(Q$1&amp;"!$a1:$a10000")=汇总!$A49),COUNTIF(INDIRECT(Q$1&amp;"!$a1:$a10000"),汇总!$A49)),Q48)</f>
        <v/>
      </c>
      <c r="R49" s="563">
        <f t="array" ref="R49">IFERROR(INDEX(_xlfn._xlws.FILTER(INDIRECT(R$1&amp;"!$E1:$E10000"),INDIRECT(R$1&amp;"!$a1:$a10000")=汇总!$A49),COUNTIF(INDIRECT(R$1&amp;"!$a1:$a10000"),汇总!$A49)),R48)</f>
        <v/>
      </c>
      <c r="S49" s="563">
        <f t="array" ref="S49">IFERROR(INDEX(_xlfn._xlws.FILTER(INDIRECT(S$1&amp;"!$E1:$E10000"),INDIRECT(S$1&amp;"!$a1:$a10000")=汇总!$A49),COUNTIF(INDIRECT(S$1&amp;"!$a1:$a10000"),汇总!$A49)),S48)</f>
        <v/>
      </c>
    </row>
    <row r="50" hidden="1" s="326">
      <c r="A50" s="1">
        <f>+A49+1</f>
        <v/>
      </c>
      <c r="B50" s="563">
        <f t="array" ref="B50">IFERROR(INDEX(_xlfn._xlws.FILTER(INDIRECT(B$1&amp;"!$E1:$E10000"),INDIRECT(B$1&amp;"!$a1:$a10000")=汇总!$A50),COUNTIF(INDIRECT(B$1&amp;"!$a1:$a10000"),汇总!$A50)),B49)</f>
        <v/>
      </c>
      <c r="C50" s="563">
        <f t="array" ref="C50">IFERROR(INDEX(_xlfn._xlws.FILTER(INDIRECT(C$1&amp;"!$E1:$E10000"),INDIRECT(C$1&amp;"!$a1:$a10000")=汇总!$A50),COUNTIF(INDIRECT(C$1&amp;"!$a1:$a10000"),汇总!$A50)),C49)</f>
        <v/>
      </c>
      <c r="D50" s="563">
        <f t="array" ref="D50">IFERROR(INDEX(_xlfn._xlws.FILTER(INDIRECT(D$1&amp;"!$E1:$E10000"),INDIRECT(D$1&amp;"!$a1:$a10000")=汇总!$A50),COUNTIF(INDIRECT(D$1&amp;"!$a1:$a10000"),汇总!$A50)),D49)</f>
        <v/>
      </c>
      <c r="E50" s="563">
        <f t="array" ref="E50">IFERROR(INDEX(_xlfn._xlws.FILTER(INDIRECT(E$1&amp;"!$E1:$E10000"),INDIRECT(E$1&amp;"!$a1:$a10000")=汇总!$A50),COUNTIF(INDIRECT(E$1&amp;"!$a1:$a10000"),汇总!$A50)),E49)</f>
        <v/>
      </c>
      <c r="F50" s="563">
        <f t="array" ref="F50">IFERROR(INDEX(_xlfn._xlws.FILTER(INDIRECT(F$1&amp;"!$E1:$E10000"),INDIRECT(F$1&amp;"!$a1:$a10000")=汇总!$A50),COUNTIF(INDIRECT(F$1&amp;"!$a1:$a10000"),汇总!$A50)),F49)</f>
        <v/>
      </c>
      <c r="G50" s="563">
        <f t="array" ref="G50">IFERROR(INDEX(_xlfn._xlws.FILTER(INDIRECT(G$1&amp;"!$E1:$E10000"),INDIRECT(G$1&amp;"!$a1:$a10000")=汇总!$A50),COUNTIF(INDIRECT(G$1&amp;"!$a1:$a10000"),汇总!$A50)),G49)</f>
        <v/>
      </c>
      <c r="H50" s="563">
        <f t="array" ref="H50">IFERROR(INDEX(_xlfn._xlws.FILTER(INDIRECT(H$1&amp;"!$E1:$E10000"),INDIRECT(H$1&amp;"!$a1:$a10000")=汇总!$A50),COUNTIF(INDIRECT(H$1&amp;"!$a1:$a10000"),汇总!$A50)),H49)</f>
        <v/>
      </c>
      <c r="I50" s="563">
        <f t="array" ref="I50">IFERROR(INDEX(_xlfn._xlws.FILTER(INDIRECT(I$1&amp;"!$E1:$E10000"),INDIRECT(I$1&amp;"!$a1:$a10000")=汇总!$A50),COUNTIF(INDIRECT(I$1&amp;"!$a1:$a10000"),汇总!$A50)),I49)</f>
        <v/>
      </c>
      <c r="J50" s="563">
        <f t="array" ref="J50">IFERROR(INDEX(_xlfn._xlws.FILTER(INDIRECT(J$1&amp;"!$E1:$E10000"),INDIRECT(J$1&amp;"!$a1:$a10000")=汇总!$A50),COUNTIF(INDIRECT(J$1&amp;"!$a1:$a10000"),汇总!$A50)),J49)</f>
        <v/>
      </c>
      <c r="K50" s="563">
        <f t="array" ref="K50">IFERROR(INDEX(_xlfn._xlws.FILTER(INDIRECT(K$1&amp;"!$E1:$E10000"),INDIRECT(K$1&amp;"!$a1:$a10000")=汇总!$A50),COUNTIF(INDIRECT(K$1&amp;"!$a1:$a10000"),汇总!$A50)),K49)</f>
        <v/>
      </c>
      <c r="L50" s="563">
        <f t="array" ref="L50">IFERROR(INDEX(_xlfn._xlws.FILTER(INDIRECT(L$1&amp;"!$E1:$E10000"),INDIRECT(L$1&amp;"!$a1:$a10000")=汇总!$A50),COUNTIF(INDIRECT(L$1&amp;"!$a1:$a10000"),汇总!$A50)),L49)</f>
        <v/>
      </c>
      <c r="M50" s="563">
        <f t="array" ref="M50">IFERROR(INDEX(_xlfn._xlws.FILTER(INDIRECT(M$1&amp;"!$E1:$E10000"),INDIRECT(M$1&amp;"!$a1:$a10000")=汇总!$A50),COUNTIF(INDIRECT(M$1&amp;"!$a1:$a10000"),汇总!$A50)),M49)</f>
        <v/>
      </c>
      <c r="N50" s="563">
        <f t="array" ref="N50">IFERROR(INDEX(_xlfn._xlws.FILTER(INDIRECT(N$1&amp;"!$E1:$E10000"),INDIRECT(N$1&amp;"!$a1:$a10000")=汇总!$A50),COUNTIF(INDIRECT(N$1&amp;"!$a1:$a10000"),汇总!$A50)),N49)</f>
        <v/>
      </c>
      <c r="O50" s="563">
        <f t="array" ref="O50">IFERROR(INDEX(_xlfn._xlws.FILTER(INDIRECT(O$1&amp;"!$E1:$E10000"),INDIRECT(O$1&amp;"!$a1:$a10000")=汇总!$A50),COUNTIF(INDIRECT(O$1&amp;"!$a1:$a10000"),汇总!$A50)),O49)</f>
        <v/>
      </c>
      <c r="P50" s="563">
        <f t="array" ref="P50">IFERROR(INDEX(_xlfn._xlws.FILTER(INDIRECT(P$1&amp;"!$E1:$E10000"),INDIRECT(P$1&amp;"!$a1:$a10000")=汇总!$A50),COUNTIF(INDIRECT(P$1&amp;"!$a1:$a10000"),汇总!$A50)),P49)</f>
        <v/>
      </c>
      <c r="Q50" s="563">
        <f t="array" ref="Q50">IFERROR(INDEX(_xlfn._xlws.FILTER(INDIRECT(Q$1&amp;"!$E1:$E10000"),INDIRECT(Q$1&amp;"!$a1:$a10000")=汇总!$A50),COUNTIF(INDIRECT(Q$1&amp;"!$a1:$a10000"),汇总!$A50)),Q49)</f>
        <v/>
      </c>
      <c r="R50" s="563">
        <f t="array" ref="R50">IFERROR(INDEX(_xlfn._xlws.FILTER(INDIRECT(R$1&amp;"!$E1:$E10000"),INDIRECT(R$1&amp;"!$a1:$a10000")=汇总!$A50),COUNTIF(INDIRECT(R$1&amp;"!$a1:$a10000"),汇总!$A50)),R49)</f>
        <v/>
      </c>
      <c r="S50" s="563">
        <f t="array" ref="S50">IFERROR(INDEX(_xlfn._xlws.FILTER(INDIRECT(S$1&amp;"!$E1:$E10000"),INDIRECT(S$1&amp;"!$a1:$a10000")=汇总!$A50),COUNTIF(INDIRECT(S$1&amp;"!$a1:$a10000"),汇总!$A50)),S49)</f>
        <v/>
      </c>
    </row>
    <row r="51" hidden="1" s="326">
      <c r="A51" s="1">
        <f>+A50+1</f>
        <v/>
      </c>
      <c r="B51" s="563">
        <f t="array" ref="B51">IFERROR(INDEX(_xlfn._xlws.FILTER(INDIRECT(B$1&amp;"!$E1:$E10000"),INDIRECT(B$1&amp;"!$a1:$a10000")=汇总!$A51),COUNTIF(INDIRECT(B$1&amp;"!$a1:$a10000"),汇总!$A51)),B50)</f>
        <v/>
      </c>
      <c r="C51" s="563">
        <f t="array" ref="C51">IFERROR(INDEX(_xlfn._xlws.FILTER(INDIRECT(C$1&amp;"!$E1:$E10000"),INDIRECT(C$1&amp;"!$a1:$a10000")=汇总!$A51),COUNTIF(INDIRECT(C$1&amp;"!$a1:$a10000"),汇总!$A51)),C50)</f>
        <v/>
      </c>
      <c r="D51" s="563">
        <f t="array" ref="D51">IFERROR(INDEX(_xlfn._xlws.FILTER(INDIRECT(D$1&amp;"!$E1:$E10000"),INDIRECT(D$1&amp;"!$a1:$a10000")=汇总!$A51),COUNTIF(INDIRECT(D$1&amp;"!$a1:$a10000"),汇总!$A51)),D50)</f>
        <v/>
      </c>
      <c r="E51" s="563">
        <f t="array" ref="E51">IFERROR(INDEX(_xlfn._xlws.FILTER(INDIRECT(E$1&amp;"!$E1:$E10000"),INDIRECT(E$1&amp;"!$a1:$a10000")=汇总!$A51),COUNTIF(INDIRECT(E$1&amp;"!$a1:$a10000"),汇总!$A51)),E50)</f>
        <v/>
      </c>
      <c r="F51" s="563">
        <f t="array" ref="F51">IFERROR(INDEX(_xlfn._xlws.FILTER(INDIRECT(F$1&amp;"!$E1:$E10000"),INDIRECT(F$1&amp;"!$a1:$a10000")=汇总!$A51),COUNTIF(INDIRECT(F$1&amp;"!$a1:$a10000"),汇总!$A51)),F50)</f>
        <v/>
      </c>
      <c r="G51" s="563">
        <f t="array" ref="G51">IFERROR(INDEX(_xlfn._xlws.FILTER(INDIRECT(G$1&amp;"!$E1:$E10000"),INDIRECT(G$1&amp;"!$a1:$a10000")=汇总!$A51),COUNTIF(INDIRECT(G$1&amp;"!$a1:$a10000"),汇总!$A51)),G50)</f>
        <v/>
      </c>
      <c r="H51" s="563">
        <f t="array" ref="H51">IFERROR(INDEX(_xlfn._xlws.FILTER(INDIRECT(H$1&amp;"!$E1:$E10000"),INDIRECT(H$1&amp;"!$a1:$a10000")=汇总!$A51),COUNTIF(INDIRECT(H$1&amp;"!$a1:$a10000"),汇总!$A51)),H50)</f>
        <v/>
      </c>
      <c r="I51" s="563">
        <f t="array" ref="I51">IFERROR(INDEX(_xlfn._xlws.FILTER(INDIRECT(I$1&amp;"!$E1:$E10000"),INDIRECT(I$1&amp;"!$a1:$a10000")=汇总!$A51),COUNTIF(INDIRECT(I$1&amp;"!$a1:$a10000"),汇总!$A51)),I50)</f>
        <v/>
      </c>
      <c r="J51" s="563">
        <f t="array" ref="J51">IFERROR(INDEX(_xlfn._xlws.FILTER(INDIRECT(J$1&amp;"!$E1:$E10000"),INDIRECT(J$1&amp;"!$a1:$a10000")=汇总!$A51),COUNTIF(INDIRECT(J$1&amp;"!$a1:$a10000"),汇总!$A51)),J50)</f>
        <v/>
      </c>
      <c r="K51" s="563">
        <f t="array" ref="K51">IFERROR(INDEX(_xlfn._xlws.FILTER(INDIRECT(K$1&amp;"!$E1:$E10000"),INDIRECT(K$1&amp;"!$a1:$a10000")=汇总!$A51),COUNTIF(INDIRECT(K$1&amp;"!$a1:$a10000"),汇总!$A51)),K50)</f>
        <v/>
      </c>
      <c r="L51" s="563">
        <f t="array" ref="L51">IFERROR(INDEX(_xlfn._xlws.FILTER(INDIRECT(L$1&amp;"!$E1:$E10000"),INDIRECT(L$1&amp;"!$a1:$a10000")=汇总!$A51),COUNTIF(INDIRECT(L$1&amp;"!$a1:$a10000"),汇总!$A51)),L50)</f>
        <v/>
      </c>
      <c r="M51" s="563">
        <f t="array" ref="M51">IFERROR(INDEX(_xlfn._xlws.FILTER(INDIRECT(M$1&amp;"!$E1:$E10000"),INDIRECT(M$1&amp;"!$a1:$a10000")=汇总!$A51),COUNTIF(INDIRECT(M$1&amp;"!$a1:$a10000"),汇总!$A51)),M50)</f>
        <v/>
      </c>
      <c r="N51" s="563">
        <f t="array" ref="N51">IFERROR(INDEX(_xlfn._xlws.FILTER(INDIRECT(N$1&amp;"!$E1:$E10000"),INDIRECT(N$1&amp;"!$a1:$a10000")=汇总!$A51),COUNTIF(INDIRECT(N$1&amp;"!$a1:$a10000"),汇总!$A51)),N50)</f>
        <v/>
      </c>
      <c r="O51" s="563">
        <f t="array" ref="O51">IFERROR(INDEX(_xlfn._xlws.FILTER(INDIRECT(O$1&amp;"!$E1:$E10000"),INDIRECT(O$1&amp;"!$a1:$a10000")=汇总!$A51),COUNTIF(INDIRECT(O$1&amp;"!$a1:$a10000"),汇总!$A51)),O50)</f>
        <v/>
      </c>
      <c r="P51" s="563">
        <f t="array" ref="P51">IFERROR(INDEX(_xlfn._xlws.FILTER(INDIRECT(P$1&amp;"!$E1:$E10000"),INDIRECT(P$1&amp;"!$a1:$a10000")=汇总!$A51),COUNTIF(INDIRECT(P$1&amp;"!$a1:$a10000"),汇总!$A51)),P50)</f>
        <v/>
      </c>
      <c r="Q51" s="563">
        <f t="array" ref="Q51">IFERROR(INDEX(_xlfn._xlws.FILTER(INDIRECT(Q$1&amp;"!$E1:$E10000"),INDIRECT(Q$1&amp;"!$a1:$a10000")=汇总!$A51),COUNTIF(INDIRECT(Q$1&amp;"!$a1:$a10000"),汇总!$A51)),Q50)</f>
        <v/>
      </c>
      <c r="R51" s="563">
        <f t="array" ref="R51">IFERROR(INDEX(_xlfn._xlws.FILTER(INDIRECT(R$1&amp;"!$E1:$E10000"),INDIRECT(R$1&amp;"!$a1:$a10000")=汇总!$A51),COUNTIF(INDIRECT(R$1&amp;"!$a1:$a10000"),汇总!$A51)),R50)</f>
        <v/>
      </c>
      <c r="S51" s="563">
        <f t="array" ref="S51">IFERROR(INDEX(_xlfn._xlws.FILTER(INDIRECT(S$1&amp;"!$E1:$E10000"),INDIRECT(S$1&amp;"!$a1:$a10000")=汇总!$A51),COUNTIF(INDIRECT(S$1&amp;"!$a1:$a10000"),汇总!$A51)),S50)</f>
        <v/>
      </c>
    </row>
    <row r="52" hidden="1" s="326">
      <c r="A52" s="1">
        <f>+A51+1</f>
        <v/>
      </c>
      <c r="B52" s="563">
        <f t="array" ref="B52">IFERROR(INDEX(_xlfn._xlws.FILTER(INDIRECT(B$1&amp;"!$E1:$E10000"),INDIRECT(B$1&amp;"!$a1:$a10000")=汇总!$A52),COUNTIF(INDIRECT(B$1&amp;"!$a1:$a10000"),汇总!$A52)),B51)</f>
        <v/>
      </c>
      <c r="C52" s="563">
        <f t="array" ref="C52">IFERROR(INDEX(_xlfn._xlws.FILTER(INDIRECT(C$1&amp;"!$E1:$E10000"),INDIRECT(C$1&amp;"!$a1:$a10000")=汇总!$A52),COUNTIF(INDIRECT(C$1&amp;"!$a1:$a10000"),汇总!$A52)),C51)</f>
        <v/>
      </c>
      <c r="D52" s="563">
        <f t="array" ref="D52">IFERROR(INDEX(_xlfn._xlws.FILTER(INDIRECT(D$1&amp;"!$E1:$E10000"),INDIRECT(D$1&amp;"!$a1:$a10000")=汇总!$A52),COUNTIF(INDIRECT(D$1&amp;"!$a1:$a10000"),汇总!$A52)),D51)</f>
        <v/>
      </c>
      <c r="E52" s="563">
        <f t="array" ref="E52">IFERROR(INDEX(_xlfn._xlws.FILTER(INDIRECT(E$1&amp;"!$E1:$E10000"),INDIRECT(E$1&amp;"!$a1:$a10000")=汇总!$A52),COUNTIF(INDIRECT(E$1&amp;"!$a1:$a10000"),汇总!$A52)),E51)</f>
        <v/>
      </c>
      <c r="F52" s="563">
        <f t="array" ref="F52">IFERROR(INDEX(_xlfn._xlws.FILTER(INDIRECT(F$1&amp;"!$E1:$E10000"),INDIRECT(F$1&amp;"!$a1:$a10000")=汇总!$A52),COUNTIF(INDIRECT(F$1&amp;"!$a1:$a10000"),汇总!$A52)),F51)</f>
        <v/>
      </c>
      <c r="G52" s="563">
        <f t="array" ref="G52">IFERROR(INDEX(_xlfn._xlws.FILTER(INDIRECT(G$1&amp;"!$E1:$E10000"),INDIRECT(G$1&amp;"!$a1:$a10000")=汇总!$A52),COUNTIF(INDIRECT(G$1&amp;"!$a1:$a10000"),汇总!$A52)),G51)</f>
        <v/>
      </c>
      <c r="H52" s="563">
        <f t="array" ref="H52">IFERROR(INDEX(_xlfn._xlws.FILTER(INDIRECT(H$1&amp;"!$E1:$E10000"),INDIRECT(H$1&amp;"!$a1:$a10000")=汇总!$A52),COUNTIF(INDIRECT(H$1&amp;"!$a1:$a10000"),汇总!$A52)),H51)</f>
        <v/>
      </c>
      <c r="I52" s="563">
        <f t="array" ref="I52">IFERROR(INDEX(_xlfn._xlws.FILTER(INDIRECT(I$1&amp;"!$E1:$E10000"),INDIRECT(I$1&amp;"!$a1:$a10000")=汇总!$A52),COUNTIF(INDIRECT(I$1&amp;"!$a1:$a10000"),汇总!$A52)),I51)</f>
        <v/>
      </c>
      <c r="J52" s="563">
        <f t="array" ref="J52">IFERROR(INDEX(_xlfn._xlws.FILTER(INDIRECT(J$1&amp;"!$E1:$E10000"),INDIRECT(J$1&amp;"!$a1:$a10000")=汇总!$A52),COUNTIF(INDIRECT(J$1&amp;"!$a1:$a10000"),汇总!$A52)),J51)</f>
        <v/>
      </c>
      <c r="K52" s="563">
        <f t="array" ref="K52">IFERROR(INDEX(_xlfn._xlws.FILTER(INDIRECT(K$1&amp;"!$E1:$E10000"),INDIRECT(K$1&amp;"!$a1:$a10000")=汇总!$A52),COUNTIF(INDIRECT(K$1&amp;"!$a1:$a10000"),汇总!$A52)),K51)</f>
        <v/>
      </c>
      <c r="L52" s="563">
        <f t="array" ref="L52">IFERROR(INDEX(_xlfn._xlws.FILTER(INDIRECT(L$1&amp;"!$E1:$E10000"),INDIRECT(L$1&amp;"!$a1:$a10000")=汇总!$A52),COUNTIF(INDIRECT(L$1&amp;"!$a1:$a10000"),汇总!$A52)),L51)</f>
        <v/>
      </c>
      <c r="M52" s="563">
        <f t="array" ref="M52">IFERROR(INDEX(_xlfn._xlws.FILTER(INDIRECT(M$1&amp;"!$E1:$E10000"),INDIRECT(M$1&amp;"!$a1:$a10000")=汇总!$A52),COUNTIF(INDIRECT(M$1&amp;"!$a1:$a10000"),汇总!$A52)),M51)</f>
        <v/>
      </c>
      <c r="N52" s="563">
        <f t="array" ref="N52">IFERROR(INDEX(_xlfn._xlws.FILTER(INDIRECT(N$1&amp;"!$E1:$E10000"),INDIRECT(N$1&amp;"!$a1:$a10000")=汇总!$A52),COUNTIF(INDIRECT(N$1&amp;"!$a1:$a10000"),汇总!$A52)),N51)</f>
        <v/>
      </c>
      <c r="O52" s="563">
        <f t="array" ref="O52">IFERROR(INDEX(_xlfn._xlws.FILTER(INDIRECT(O$1&amp;"!$E1:$E10000"),INDIRECT(O$1&amp;"!$a1:$a10000")=汇总!$A52),COUNTIF(INDIRECT(O$1&amp;"!$a1:$a10000"),汇总!$A52)),O51)</f>
        <v/>
      </c>
      <c r="P52" s="563">
        <f t="array" ref="P52">IFERROR(INDEX(_xlfn._xlws.FILTER(INDIRECT(P$1&amp;"!$E1:$E10000"),INDIRECT(P$1&amp;"!$a1:$a10000")=汇总!$A52),COUNTIF(INDIRECT(P$1&amp;"!$a1:$a10000"),汇总!$A52)),P51)</f>
        <v/>
      </c>
      <c r="Q52" s="563">
        <f t="array" ref="Q52">IFERROR(INDEX(_xlfn._xlws.FILTER(INDIRECT(Q$1&amp;"!$E1:$E10000"),INDIRECT(Q$1&amp;"!$a1:$a10000")=汇总!$A52),COUNTIF(INDIRECT(Q$1&amp;"!$a1:$a10000"),汇总!$A52)),Q51)</f>
        <v/>
      </c>
      <c r="R52" s="563">
        <f t="array" ref="R52">IFERROR(INDEX(_xlfn._xlws.FILTER(INDIRECT(R$1&amp;"!$E1:$E10000"),INDIRECT(R$1&amp;"!$a1:$a10000")=汇总!$A52),COUNTIF(INDIRECT(R$1&amp;"!$a1:$a10000"),汇总!$A52)),R51)</f>
        <v/>
      </c>
      <c r="S52" s="563">
        <f t="array" ref="S52">IFERROR(INDEX(_xlfn._xlws.FILTER(INDIRECT(S$1&amp;"!$E1:$E10000"),INDIRECT(S$1&amp;"!$a1:$a10000")=汇总!$A52),COUNTIF(INDIRECT(S$1&amp;"!$a1:$a10000"),汇总!$A52)),S51)</f>
        <v/>
      </c>
    </row>
    <row r="53" hidden="1" s="326">
      <c r="A53" s="1">
        <f>+A52+1</f>
        <v/>
      </c>
      <c r="B53" s="563">
        <f t="array" ref="B53">IFERROR(INDEX(_xlfn._xlws.FILTER(INDIRECT(B$1&amp;"!$E1:$E10000"),INDIRECT(B$1&amp;"!$a1:$a10000")=汇总!$A53),COUNTIF(INDIRECT(B$1&amp;"!$a1:$a10000"),汇总!$A53)),B52)</f>
        <v/>
      </c>
      <c r="C53" s="563">
        <f t="array" ref="C53">IFERROR(INDEX(_xlfn._xlws.FILTER(INDIRECT(C$1&amp;"!$E1:$E10000"),INDIRECT(C$1&amp;"!$a1:$a10000")=汇总!$A53),COUNTIF(INDIRECT(C$1&amp;"!$a1:$a10000"),汇总!$A53)),C52)</f>
        <v/>
      </c>
      <c r="D53" s="563">
        <f t="array" ref="D53">IFERROR(INDEX(_xlfn._xlws.FILTER(INDIRECT(D$1&amp;"!$E1:$E10000"),INDIRECT(D$1&amp;"!$a1:$a10000")=汇总!$A53),COUNTIF(INDIRECT(D$1&amp;"!$a1:$a10000"),汇总!$A53)),D52)</f>
        <v/>
      </c>
      <c r="E53" s="563">
        <f t="array" ref="E53">IFERROR(INDEX(_xlfn._xlws.FILTER(INDIRECT(E$1&amp;"!$E1:$E10000"),INDIRECT(E$1&amp;"!$a1:$a10000")=汇总!$A53),COUNTIF(INDIRECT(E$1&amp;"!$a1:$a10000"),汇总!$A53)),E52)</f>
        <v/>
      </c>
      <c r="F53" s="563">
        <f t="array" ref="F53">IFERROR(INDEX(_xlfn._xlws.FILTER(INDIRECT(F$1&amp;"!$E1:$E10000"),INDIRECT(F$1&amp;"!$a1:$a10000")=汇总!$A53),COUNTIF(INDIRECT(F$1&amp;"!$a1:$a10000"),汇总!$A53)),F52)</f>
        <v/>
      </c>
      <c r="G53" s="563">
        <f t="array" ref="G53">IFERROR(INDEX(_xlfn._xlws.FILTER(INDIRECT(G$1&amp;"!$E1:$E10000"),INDIRECT(G$1&amp;"!$a1:$a10000")=汇总!$A53),COUNTIF(INDIRECT(G$1&amp;"!$a1:$a10000"),汇总!$A53)),G52)</f>
        <v/>
      </c>
      <c r="H53" s="563">
        <f t="array" ref="H53">IFERROR(INDEX(_xlfn._xlws.FILTER(INDIRECT(H$1&amp;"!$E1:$E10000"),INDIRECT(H$1&amp;"!$a1:$a10000")=汇总!$A53),COUNTIF(INDIRECT(H$1&amp;"!$a1:$a10000"),汇总!$A53)),H52)</f>
        <v/>
      </c>
      <c r="I53" s="563">
        <f t="array" ref="I53">IFERROR(INDEX(_xlfn._xlws.FILTER(INDIRECT(I$1&amp;"!$E1:$E10000"),INDIRECT(I$1&amp;"!$a1:$a10000")=汇总!$A53),COUNTIF(INDIRECT(I$1&amp;"!$a1:$a10000"),汇总!$A53)),I52)</f>
        <v/>
      </c>
      <c r="J53" s="563">
        <f t="array" ref="J53">IFERROR(INDEX(_xlfn._xlws.FILTER(INDIRECT(J$1&amp;"!$E1:$E10000"),INDIRECT(J$1&amp;"!$a1:$a10000")=汇总!$A53),COUNTIF(INDIRECT(J$1&amp;"!$a1:$a10000"),汇总!$A53)),J52)</f>
        <v/>
      </c>
      <c r="K53" s="563">
        <f t="array" ref="K53">IFERROR(INDEX(_xlfn._xlws.FILTER(INDIRECT(K$1&amp;"!$E1:$E10000"),INDIRECT(K$1&amp;"!$a1:$a10000")=汇总!$A53),COUNTIF(INDIRECT(K$1&amp;"!$a1:$a10000"),汇总!$A53)),K52)</f>
        <v/>
      </c>
      <c r="L53" s="563">
        <f t="array" ref="L53">IFERROR(INDEX(_xlfn._xlws.FILTER(INDIRECT(L$1&amp;"!$E1:$E10000"),INDIRECT(L$1&amp;"!$a1:$a10000")=汇总!$A53),COUNTIF(INDIRECT(L$1&amp;"!$a1:$a10000"),汇总!$A53)),L52)</f>
        <v/>
      </c>
      <c r="M53" s="563">
        <f t="array" ref="M53">IFERROR(INDEX(_xlfn._xlws.FILTER(INDIRECT(M$1&amp;"!$E1:$E10000"),INDIRECT(M$1&amp;"!$a1:$a10000")=汇总!$A53),COUNTIF(INDIRECT(M$1&amp;"!$a1:$a10000"),汇总!$A53)),M52)</f>
        <v/>
      </c>
      <c r="N53" s="563">
        <f t="array" ref="N53">IFERROR(INDEX(_xlfn._xlws.FILTER(INDIRECT(N$1&amp;"!$E1:$E10000"),INDIRECT(N$1&amp;"!$a1:$a10000")=汇总!$A53),COUNTIF(INDIRECT(N$1&amp;"!$a1:$a10000"),汇总!$A53)),N52)</f>
        <v/>
      </c>
      <c r="O53" s="563">
        <f t="array" ref="O53">IFERROR(INDEX(_xlfn._xlws.FILTER(INDIRECT(O$1&amp;"!$E1:$E10000"),INDIRECT(O$1&amp;"!$a1:$a10000")=汇总!$A53),COUNTIF(INDIRECT(O$1&amp;"!$a1:$a10000"),汇总!$A53)),O52)</f>
        <v/>
      </c>
      <c r="P53" s="563">
        <f t="array" ref="P53">IFERROR(INDEX(_xlfn._xlws.FILTER(INDIRECT(P$1&amp;"!$E1:$E10000"),INDIRECT(P$1&amp;"!$a1:$a10000")=汇总!$A53),COUNTIF(INDIRECT(P$1&amp;"!$a1:$a10000"),汇总!$A53)),P52)</f>
        <v/>
      </c>
      <c r="Q53" s="563">
        <f t="array" ref="Q53">IFERROR(INDEX(_xlfn._xlws.FILTER(INDIRECT(Q$1&amp;"!$E1:$E10000"),INDIRECT(Q$1&amp;"!$a1:$a10000")=汇总!$A53),COUNTIF(INDIRECT(Q$1&amp;"!$a1:$a10000"),汇总!$A53)),Q52)</f>
        <v/>
      </c>
      <c r="R53" s="563">
        <f t="array" ref="R53">IFERROR(INDEX(_xlfn._xlws.FILTER(INDIRECT(R$1&amp;"!$E1:$E10000"),INDIRECT(R$1&amp;"!$a1:$a10000")=汇总!$A53),COUNTIF(INDIRECT(R$1&amp;"!$a1:$a10000"),汇总!$A53)),R52)</f>
        <v/>
      </c>
      <c r="S53" s="563">
        <f t="array" ref="S53">IFERROR(INDEX(_xlfn._xlws.FILTER(INDIRECT(S$1&amp;"!$E1:$E10000"),INDIRECT(S$1&amp;"!$a1:$a10000")=汇总!$A53),COUNTIF(INDIRECT(S$1&amp;"!$a1:$a10000"),汇总!$A53)),S52)</f>
        <v/>
      </c>
    </row>
    <row r="54" hidden="1" s="326">
      <c r="A54" s="1">
        <f>+A53+1</f>
        <v/>
      </c>
      <c r="B54" s="563">
        <f t="array" ref="B54">IFERROR(INDEX(_xlfn._xlws.FILTER(INDIRECT(B$1&amp;"!$E1:$E10000"),INDIRECT(B$1&amp;"!$a1:$a10000")=汇总!$A54),COUNTIF(INDIRECT(B$1&amp;"!$a1:$a10000"),汇总!$A54)),B53)</f>
        <v/>
      </c>
      <c r="C54" s="563">
        <f t="array" ref="C54">IFERROR(INDEX(_xlfn._xlws.FILTER(INDIRECT(C$1&amp;"!$E1:$E10000"),INDIRECT(C$1&amp;"!$a1:$a10000")=汇总!$A54),COUNTIF(INDIRECT(C$1&amp;"!$a1:$a10000"),汇总!$A54)),C53)</f>
        <v/>
      </c>
      <c r="D54" s="563">
        <f t="array" ref="D54">IFERROR(INDEX(_xlfn._xlws.FILTER(INDIRECT(D$1&amp;"!$E1:$E10000"),INDIRECT(D$1&amp;"!$a1:$a10000")=汇总!$A54),COUNTIF(INDIRECT(D$1&amp;"!$a1:$a10000"),汇总!$A54)),D53)</f>
        <v/>
      </c>
      <c r="E54" s="563">
        <f t="array" ref="E54">IFERROR(INDEX(_xlfn._xlws.FILTER(INDIRECT(E$1&amp;"!$E1:$E10000"),INDIRECT(E$1&amp;"!$a1:$a10000")=汇总!$A54),COUNTIF(INDIRECT(E$1&amp;"!$a1:$a10000"),汇总!$A54)),E53)</f>
        <v/>
      </c>
      <c r="F54" s="563">
        <f t="array" ref="F54">IFERROR(INDEX(_xlfn._xlws.FILTER(INDIRECT(F$1&amp;"!$E1:$E10000"),INDIRECT(F$1&amp;"!$a1:$a10000")=汇总!$A54),COUNTIF(INDIRECT(F$1&amp;"!$a1:$a10000"),汇总!$A54)),F53)</f>
        <v/>
      </c>
      <c r="G54" s="563">
        <f t="array" ref="G54">IFERROR(INDEX(_xlfn._xlws.FILTER(INDIRECT(G$1&amp;"!$E1:$E10000"),INDIRECT(G$1&amp;"!$a1:$a10000")=汇总!$A54),COUNTIF(INDIRECT(G$1&amp;"!$a1:$a10000"),汇总!$A54)),G53)</f>
        <v/>
      </c>
      <c r="H54" s="563">
        <f t="array" ref="H54">IFERROR(INDEX(_xlfn._xlws.FILTER(INDIRECT(H$1&amp;"!$E1:$E10000"),INDIRECT(H$1&amp;"!$a1:$a10000")=汇总!$A54),COUNTIF(INDIRECT(H$1&amp;"!$a1:$a10000"),汇总!$A54)),H53)</f>
        <v/>
      </c>
      <c r="I54" s="563">
        <f t="array" ref="I54">IFERROR(INDEX(_xlfn._xlws.FILTER(INDIRECT(I$1&amp;"!$E1:$E10000"),INDIRECT(I$1&amp;"!$a1:$a10000")=汇总!$A54),COUNTIF(INDIRECT(I$1&amp;"!$a1:$a10000"),汇总!$A54)),I53)</f>
        <v/>
      </c>
      <c r="J54" s="563">
        <f t="array" ref="J54">IFERROR(INDEX(_xlfn._xlws.FILTER(INDIRECT(J$1&amp;"!$E1:$E10000"),INDIRECT(J$1&amp;"!$a1:$a10000")=汇总!$A54),COUNTIF(INDIRECT(J$1&amp;"!$a1:$a10000"),汇总!$A54)),J53)</f>
        <v/>
      </c>
      <c r="K54" s="563">
        <f t="array" ref="K54">IFERROR(INDEX(_xlfn._xlws.FILTER(INDIRECT(K$1&amp;"!$E1:$E10000"),INDIRECT(K$1&amp;"!$a1:$a10000")=汇总!$A54),COUNTIF(INDIRECT(K$1&amp;"!$a1:$a10000"),汇总!$A54)),K53)</f>
        <v/>
      </c>
      <c r="L54" s="563">
        <f t="array" ref="L54">IFERROR(INDEX(_xlfn._xlws.FILTER(INDIRECT(L$1&amp;"!$E1:$E10000"),INDIRECT(L$1&amp;"!$a1:$a10000")=汇总!$A54),COUNTIF(INDIRECT(L$1&amp;"!$a1:$a10000"),汇总!$A54)),L53)</f>
        <v/>
      </c>
      <c r="M54" s="563">
        <f t="array" ref="M54">IFERROR(INDEX(_xlfn._xlws.FILTER(INDIRECT(M$1&amp;"!$E1:$E10000"),INDIRECT(M$1&amp;"!$a1:$a10000")=汇总!$A54),COUNTIF(INDIRECT(M$1&amp;"!$a1:$a10000"),汇总!$A54)),M53)</f>
        <v/>
      </c>
      <c r="N54" s="563">
        <f t="array" ref="N54">IFERROR(INDEX(_xlfn._xlws.FILTER(INDIRECT(N$1&amp;"!$E1:$E10000"),INDIRECT(N$1&amp;"!$a1:$a10000")=汇总!$A54),COUNTIF(INDIRECT(N$1&amp;"!$a1:$a10000"),汇总!$A54)),N53)</f>
        <v/>
      </c>
      <c r="O54" s="563">
        <f t="array" ref="O54">IFERROR(INDEX(_xlfn._xlws.FILTER(INDIRECT(O$1&amp;"!$E1:$E10000"),INDIRECT(O$1&amp;"!$a1:$a10000")=汇总!$A54),COUNTIF(INDIRECT(O$1&amp;"!$a1:$a10000"),汇总!$A54)),O53)</f>
        <v/>
      </c>
      <c r="P54" s="563">
        <f t="array" ref="P54">IFERROR(INDEX(_xlfn._xlws.FILTER(INDIRECT(P$1&amp;"!$E1:$E10000"),INDIRECT(P$1&amp;"!$a1:$a10000")=汇总!$A54),COUNTIF(INDIRECT(P$1&amp;"!$a1:$a10000"),汇总!$A54)),P53)</f>
        <v/>
      </c>
      <c r="Q54" s="563">
        <f t="array" ref="Q54">IFERROR(INDEX(_xlfn._xlws.FILTER(INDIRECT(Q$1&amp;"!$E1:$E10000"),INDIRECT(Q$1&amp;"!$a1:$a10000")=汇总!$A54),COUNTIF(INDIRECT(Q$1&amp;"!$a1:$a10000"),汇总!$A54)),Q53)</f>
        <v/>
      </c>
      <c r="R54" s="563">
        <f t="array" ref="R54">IFERROR(INDEX(_xlfn._xlws.FILTER(INDIRECT(R$1&amp;"!$E1:$E10000"),INDIRECT(R$1&amp;"!$a1:$a10000")=汇总!$A54),COUNTIF(INDIRECT(R$1&amp;"!$a1:$a10000"),汇总!$A54)),R53)</f>
        <v/>
      </c>
      <c r="S54" s="563">
        <f t="array" ref="S54">IFERROR(INDEX(_xlfn._xlws.FILTER(INDIRECT(S$1&amp;"!$E1:$E10000"),INDIRECT(S$1&amp;"!$a1:$a10000")=汇总!$A54),COUNTIF(INDIRECT(S$1&amp;"!$a1:$a10000"),汇总!$A54)),S53)</f>
        <v/>
      </c>
    </row>
    <row r="55" hidden="1" s="326">
      <c r="A55" s="1">
        <f>+A54+1</f>
        <v/>
      </c>
      <c r="B55" s="563">
        <f t="array" ref="B55">IFERROR(INDEX(_xlfn._xlws.FILTER(INDIRECT(B$1&amp;"!$E1:$E10000"),INDIRECT(B$1&amp;"!$a1:$a10000")=汇总!$A55),COUNTIF(INDIRECT(B$1&amp;"!$a1:$a10000"),汇总!$A55)),B54)</f>
        <v/>
      </c>
      <c r="C55" s="563">
        <f t="array" ref="C55">IFERROR(INDEX(_xlfn._xlws.FILTER(INDIRECT(C$1&amp;"!$E1:$E10000"),INDIRECT(C$1&amp;"!$a1:$a10000")=汇总!$A55),COUNTIF(INDIRECT(C$1&amp;"!$a1:$a10000"),汇总!$A55)),C54)</f>
        <v/>
      </c>
      <c r="D55" s="563">
        <f t="array" ref="D55">IFERROR(INDEX(_xlfn._xlws.FILTER(INDIRECT(D$1&amp;"!$E1:$E10000"),INDIRECT(D$1&amp;"!$a1:$a10000")=汇总!$A55),COUNTIF(INDIRECT(D$1&amp;"!$a1:$a10000"),汇总!$A55)),D54)</f>
        <v/>
      </c>
      <c r="E55" s="563">
        <f t="array" ref="E55">IFERROR(INDEX(_xlfn._xlws.FILTER(INDIRECT(E$1&amp;"!$E1:$E10000"),INDIRECT(E$1&amp;"!$a1:$a10000")=汇总!$A55),COUNTIF(INDIRECT(E$1&amp;"!$a1:$a10000"),汇总!$A55)),E54)</f>
        <v/>
      </c>
      <c r="F55" s="563">
        <f t="array" ref="F55">IFERROR(INDEX(_xlfn._xlws.FILTER(INDIRECT(F$1&amp;"!$E1:$E10000"),INDIRECT(F$1&amp;"!$a1:$a10000")=汇总!$A55),COUNTIF(INDIRECT(F$1&amp;"!$a1:$a10000"),汇总!$A55)),F54)</f>
        <v/>
      </c>
      <c r="G55" s="563">
        <f t="array" ref="G55">IFERROR(INDEX(_xlfn._xlws.FILTER(INDIRECT(G$1&amp;"!$E1:$E10000"),INDIRECT(G$1&amp;"!$a1:$a10000")=汇总!$A55),COUNTIF(INDIRECT(G$1&amp;"!$a1:$a10000"),汇总!$A55)),G54)</f>
        <v/>
      </c>
      <c r="H55" s="563">
        <f t="array" ref="H55">IFERROR(INDEX(_xlfn._xlws.FILTER(INDIRECT(H$1&amp;"!$E1:$E10000"),INDIRECT(H$1&amp;"!$a1:$a10000")=汇总!$A55),COUNTIF(INDIRECT(H$1&amp;"!$a1:$a10000"),汇总!$A55)),H54)</f>
        <v/>
      </c>
      <c r="I55" s="563">
        <f t="array" ref="I55">IFERROR(INDEX(_xlfn._xlws.FILTER(INDIRECT(I$1&amp;"!$E1:$E10000"),INDIRECT(I$1&amp;"!$a1:$a10000")=汇总!$A55),COUNTIF(INDIRECT(I$1&amp;"!$a1:$a10000"),汇总!$A55)),I54)</f>
        <v/>
      </c>
      <c r="J55" s="563">
        <f t="array" ref="J55">IFERROR(INDEX(_xlfn._xlws.FILTER(INDIRECT(J$1&amp;"!$E1:$E10000"),INDIRECT(J$1&amp;"!$a1:$a10000")=汇总!$A55),COUNTIF(INDIRECT(J$1&amp;"!$a1:$a10000"),汇总!$A55)),J54)</f>
        <v/>
      </c>
      <c r="K55" s="563">
        <f t="array" ref="K55">IFERROR(INDEX(_xlfn._xlws.FILTER(INDIRECT(K$1&amp;"!$E1:$E10000"),INDIRECT(K$1&amp;"!$a1:$a10000")=汇总!$A55),COUNTIF(INDIRECT(K$1&amp;"!$a1:$a10000"),汇总!$A55)),K54)</f>
        <v/>
      </c>
      <c r="L55" s="563">
        <f t="array" ref="L55">IFERROR(INDEX(_xlfn._xlws.FILTER(INDIRECT(L$1&amp;"!$E1:$E10000"),INDIRECT(L$1&amp;"!$a1:$a10000")=汇总!$A55),COUNTIF(INDIRECT(L$1&amp;"!$a1:$a10000"),汇总!$A55)),L54)</f>
        <v/>
      </c>
      <c r="M55" s="563">
        <f t="array" ref="M55">IFERROR(INDEX(_xlfn._xlws.FILTER(INDIRECT(M$1&amp;"!$E1:$E10000"),INDIRECT(M$1&amp;"!$a1:$a10000")=汇总!$A55),COUNTIF(INDIRECT(M$1&amp;"!$a1:$a10000"),汇总!$A55)),M54)</f>
        <v/>
      </c>
      <c r="N55" s="563">
        <f t="array" ref="N55">IFERROR(INDEX(_xlfn._xlws.FILTER(INDIRECT(N$1&amp;"!$E1:$E10000"),INDIRECT(N$1&amp;"!$a1:$a10000")=汇总!$A55),COUNTIF(INDIRECT(N$1&amp;"!$a1:$a10000"),汇总!$A55)),N54)</f>
        <v/>
      </c>
      <c r="O55" s="563">
        <f t="array" ref="O55">IFERROR(INDEX(_xlfn._xlws.FILTER(INDIRECT(O$1&amp;"!$E1:$E10000"),INDIRECT(O$1&amp;"!$a1:$a10000")=汇总!$A55),COUNTIF(INDIRECT(O$1&amp;"!$a1:$a10000"),汇总!$A55)),O54)</f>
        <v/>
      </c>
      <c r="P55" s="563">
        <f t="array" ref="P55">IFERROR(INDEX(_xlfn._xlws.FILTER(INDIRECT(P$1&amp;"!$E1:$E10000"),INDIRECT(P$1&amp;"!$a1:$a10000")=汇总!$A55),COUNTIF(INDIRECT(P$1&amp;"!$a1:$a10000"),汇总!$A55)),P54)</f>
        <v/>
      </c>
      <c r="Q55" s="563">
        <f t="array" ref="Q55">IFERROR(INDEX(_xlfn._xlws.FILTER(INDIRECT(Q$1&amp;"!$E1:$E10000"),INDIRECT(Q$1&amp;"!$a1:$a10000")=汇总!$A55),COUNTIF(INDIRECT(Q$1&amp;"!$a1:$a10000"),汇总!$A55)),Q54)</f>
        <v/>
      </c>
      <c r="R55" s="563">
        <f t="array" ref="R55">IFERROR(INDEX(_xlfn._xlws.FILTER(INDIRECT(R$1&amp;"!$E1:$E10000"),INDIRECT(R$1&amp;"!$a1:$a10000")=汇总!$A55),COUNTIF(INDIRECT(R$1&amp;"!$a1:$a10000"),汇总!$A55)),R54)</f>
        <v/>
      </c>
      <c r="S55" s="563">
        <f t="array" ref="S55">IFERROR(INDEX(_xlfn._xlws.FILTER(INDIRECT(S$1&amp;"!$E1:$E10000"),INDIRECT(S$1&amp;"!$a1:$a10000")=汇总!$A55),COUNTIF(INDIRECT(S$1&amp;"!$a1:$a10000"),汇总!$A55)),S54)</f>
        <v/>
      </c>
    </row>
    <row r="56" hidden="1" s="326">
      <c r="A56" s="1">
        <f>+A55+1</f>
        <v/>
      </c>
      <c r="B56" s="563">
        <f t="array" ref="B56">IFERROR(INDEX(_xlfn._xlws.FILTER(INDIRECT(B$1&amp;"!$E1:$E10000"),INDIRECT(B$1&amp;"!$a1:$a10000")=汇总!$A56),COUNTIF(INDIRECT(B$1&amp;"!$a1:$a10000"),汇总!$A56)),B55)</f>
        <v/>
      </c>
      <c r="C56" s="563">
        <f t="array" ref="C56">IFERROR(INDEX(_xlfn._xlws.FILTER(INDIRECT(C$1&amp;"!$E1:$E10000"),INDIRECT(C$1&amp;"!$a1:$a10000")=汇总!$A56),COUNTIF(INDIRECT(C$1&amp;"!$a1:$a10000"),汇总!$A56)),C55)</f>
        <v/>
      </c>
      <c r="D56" s="563">
        <f t="array" ref="D56">IFERROR(INDEX(_xlfn._xlws.FILTER(INDIRECT(D$1&amp;"!$E1:$E10000"),INDIRECT(D$1&amp;"!$a1:$a10000")=汇总!$A56),COUNTIF(INDIRECT(D$1&amp;"!$a1:$a10000"),汇总!$A56)),D55)</f>
        <v/>
      </c>
      <c r="E56" s="563">
        <f t="array" ref="E56">IFERROR(INDEX(_xlfn._xlws.FILTER(INDIRECT(E$1&amp;"!$E1:$E10000"),INDIRECT(E$1&amp;"!$a1:$a10000")=汇总!$A56),COUNTIF(INDIRECT(E$1&amp;"!$a1:$a10000"),汇总!$A56)),E55)</f>
        <v/>
      </c>
      <c r="F56" s="563">
        <f t="array" ref="F56">IFERROR(INDEX(_xlfn._xlws.FILTER(INDIRECT(F$1&amp;"!$E1:$E10000"),INDIRECT(F$1&amp;"!$a1:$a10000")=汇总!$A56),COUNTIF(INDIRECT(F$1&amp;"!$a1:$a10000"),汇总!$A56)),F55)</f>
        <v/>
      </c>
      <c r="G56" s="563">
        <f t="array" ref="G56">IFERROR(INDEX(_xlfn._xlws.FILTER(INDIRECT(G$1&amp;"!$E1:$E10000"),INDIRECT(G$1&amp;"!$a1:$a10000")=汇总!$A56),COUNTIF(INDIRECT(G$1&amp;"!$a1:$a10000"),汇总!$A56)),G55)</f>
        <v/>
      </c>
      <c r="H56" s="563">
        <f t="array" ref="H56">IFERROR(INDEX(_xlfn._xlws.FILTER(INDIRECT(H$1&amp;"!$E1:$E10000"),INDIRECT(H$1&amp;"!$a1:$a10000")=汇总!$A56),COUNTIF(INDIRECT(H$1&amp;"!$a1:$a10000"),汇总!$A56)),H55)</f>
        <v/>
      </c>
      <c r="I56" s="563">
        <f t="array" ref="I56">IFERROR(INDEX(_xlfn._xlws.FILTER(INDIRECT(I$1&amp;"!$E1:$E10000"),INDIRECT(I$1&amp;"!$a1:$a10000")=汇总!$A56),COUNTIF(INDIRECT(I$1&amp;"!$a1:$a10000"),汇总!$A56)),I55)</f>
        <v/>
      </c>
      <c r="J56" s="563">
        <f t="array" ref="J56">IFERROR(INDEX(_xlfn._xlws.FILTER(INDIRECT(J$1&amp;"!$E1:$E10000"),INDIRECT(J$1&amp;"!$a1:$a10000")=汇总!$A56),COUNTIF(INDIRECT(J$1&amp;"!$a1:$a10000"),汇总!$A56)),J55)</f>
        <v/>
      </c>
      <c r="K56" s="563">
        <f t="array" ref="K56">IFERROR(INDEX(_xlfn._xlws.FILTER(INDIRECT(K$1&amp;"!$E1:$E10000"),INDIRECT(K$1&amp;"!$a1:$a10000")=汇总!$A56),COUNTIF(INDIRECT(K$1&amp;"!$a1:$a10000"),汇总!$A56)),K55)</f>
        <v/>
      </c>
      <c r="L56" s="563">
        <f t="array" ref="L56">IFERROR(INDEX(_xlfn._xlws.FILTER(INDIRECT(L$1&amp;"!$E1:$E10000"),INDIRECT(L$1&amp;"!$a1:$a10000")=汇总!$A56),COUNTIF(INDIRECT(L$1&amp;"!$a1:$a10000"),汇总!$A56)),L55)</f>
        <v/>
      </c>
      <c r="M56" s="563">
        <f t="array" ref="M56">IFERROR(INDEX(_xlfn._xlws.FILTER(INDIRECT(M$1&amp;"!$E1:$E10000"),INDIRECT(M$1&amp;"!$a1:$a10000")=汇总!$A56),COUNTIF(INDIRECT(M$1&amp;"!$a1:$a10000"),汇总!$A56)),M55)</f>
        <v/>
      </c>
      <c r="N56" s="563">
        <f t="array" ref="N56">IFERROR(INDEX(_xlfn._xlws.FILTER(INDIRECT(N$1&amp;"!$E1:$E10000"),INDIRECT(N$1&amp;"!$a1:$a10000")=汇总!$A56),COUNTIF(INDIRECT(N$1&amp;"!$a1:$a10000"),汇总!$A56)),N55)</f>
        <v/>
      </c>
      <c r="O56" s="563">
        <f t="array" ref="O56">IFERROR(INDEX(_xlfn._xlws.FILTER(INDIRECT(O$1&amp;"!$E1:$E10000"),INDIRECT(O$1&amp;"!$a1:$a10000")=汇总!$A56),COUNTIF(INDIRECT(O$1&amp;"!$a1:$a10000"),汇总!$A56)),O55)</f>
        <v/>
      </c>
      <c r="P56" s="563">
        <f t="array" ref="P56">IFERROR(INDEX(_xlfn._xlws.FILTER(INDIRECT(P$1&amp;"!$E1:$E10000"),INDIRECT(P$1&amp;"!$a1:$a10000")=汇总!$A56),COUNTIF(INDIRECT(P$1&amp;"!$a1:$a10000"),汇总!$A56)),P55)</f>
        <v/>
      </c>
      <c r="Q56" s="563">
        <f t="array" ref="Q56">IFERROR(INDEX(_xlfn._xlws.FILTER(INDIRECT(Q$1&amp;"!$E1:$E10000"),INDIRECT(Q$1&amp;"!$a1:$a10000")=汇总!$A56),COUNTIF(INDIRECT(Q$1&amp;"!$a1:$a10000"),汇总!$A56)),Q55)</f>
        <v/>
      </c>
      <c r="R56" s="563">
        <f t="array" ref="R56">IFERROR(INDEX(_xlfn._xlws.FILTER(INDIRECT(R$1&amp;"!$E1:$E10000"),INDIRECT(R$1&amp;"!$a1:$a10000")=汇总!$A56),COUNTIF(INDIRECT(R$1&amp;"!$a1:$a10000"),汇总!$A56)),R55)</f>
        <v/>
      </c>
      <c r="S56" s="563">
        <f t="array" ref="S56">IFERROR(INDEX(_xlfn._xlws.FILTER(INDIRECT(S$1&amp;"!$E1:$E10000"),INDIRECT(S$1&amp;"!$a1:$a10000")=汇总!$A56),COUNTIF(INDIRECT(S$1&amp;"!$a1:$a10000"),汇总!$A56)),S55)</f>
        <v/>
      </c>
    </row>
    <row r="57" hidden="1" s="326">
      <c r="A57" s="1">
        <f>+A56+1</f>
        <v/>
      </c>
      <c r="B57" s="563">
        <f t="array" ref="B57">IFERROR(INDEX(_xlfn._xlws.FILTER(INDIRECT(B$1&amp;"!$E1:$E10000"),INDIRECT(B$1&amp;"!$a1:$a10000")=汇总!$A57),COUNTIF(INDIRECT(B$1&amp;"!$a1:$a10000"),汇总!$A57)),B56)</f>
        <v/>
      </c>
      <c r="C57" s="563">
        <f t="array" ref="C57">IFERROR(INDEX(_xlfn._xlws.FILTER(INDIRECT(C$1&amp;"!$E1:$E10000"),INDIRECT(C$1&amp;"!$a1:$a10000")=汇总!$A57),COUNTIF(INDIRECT(C$1&amp;"!$a1:$a10000"),汇总!$A57)),C56)</f>
        <v/>
      </c>
      <c r="D57" s="563">
        <f t="array" ref="D57">IFERROR(INDEX(_xlfn._xlws.FILTER(INDIRECT(D$1&amp;"!$E1:$E10000"),INDIRECT(D$1&amp;"!$a1:$a10000")=汇总!$A57),COUNTIF(INDIRECT(D$1&amp;"!$a1:$a10000"),汇总!$A57)),D56)</f>
        <v/>
      </c>
      <c r="E57" s="563">
        <f t="array" ref="E57">IFERROR(INDEX(_xlfn._xlws.FILTER(INDIRECT(E$1&amp;"!$E1:$E10000"),INDIRECT(E$1&amp;"!$a1:$a10000")=汇总!$A57),COUNTIF(INDIRECT(E$1&amp;"!$a1:$a10000"),汇总!$A57)),E56)</f>
        <v/>
      </c>
      <c r="F57" s="563">
        <f t="array" ref="F57">IFERROR(INDEX(_xlfn._xlws.FILTER(INDIRECT(F$1&amp;"!$E1:$E10000"),INDIRECT(F$1&amp;"!$a1:$a10000")=汇总!$A57),COUNTIF(INDIRECT(F$1&amp;"!$a1:$a10000"),汇总!$A57)),F56)</f>
        <v/>
      </c>
      <c r="G57" s="563">
        <f t="array" ref="G57">IFERROR(INDEX(_xlfn._xlws.FILTER(INDIRECT(G$1&amp;"!$E1:$E10000"),INDIRECT(G$1&amp;"!$a1:$a10000")=汇总!$A57),COUNTIF(INDIRECT(G$1&amp;"!$a1:$a10000"),汇总!$A57)),G56)</f>
        <v/>
      </c>
      <c r="H57" s="563">
        <f t="array" ref="H57">IFERROR(INDEX(_xlfn._xlws.FILTER(INDIRECT(H$1&amp;"!$E1:$E10000"),INDIRECT(H$1&amp;"!$a1:$a10000")=汇总!$A57),COUNTIF(INDIRECT(H$1&amp;"!$a1:$a10000"),汇总!$A57)),H56)</f>
        <v/>
      </c>
      <c r="I57" s="563">
        <f t="array" ref="I57">IFERROR(INDEX(_xlfn._xlws.FILTER(INDIRECT(I$1&amp;"!$E1:$E10000"),INDIRECT(I$1&amp;"!$a1:$a10000")=汇总!$A57),COUNTIF(INDIRECT(I$1&amp;"!$a1:$a10000"),汇总!$A57)),I56)</f>
        <v/>
      </c>
      <c r="J57" s="563">
        <f t="array" ref="J57">IFERROR(INDEX(_xlfn._xlws.FILTER(INDIRECT(J$1&amp;"!$E1:$E10000"),INDIRECT(J$1&amp;"!$a1:$a10000")=汇总!$A57),COUNTIF(INDIRECT(J$1&amp;"!$a1:$a10000"),汇总!$A57)),J56)</f>
        <v/>
      </c>
      <c r="K57" s="563">
        <f t="array" ref="K57">IFERROR(INDEX(_xlfn._xlws.FILTER(INDIRECT(K$1&amp;"!$E1:$E10000"),INDIRECT(K$1&amp;"!$a1:$a10000")=汇总!$A57),COUNTIF(INDIRECT(K$1&amp;"!$a1:$a10000"),汇总!$A57)),K56)</f>
        <v/>
      </c>
      <c r="L57" s="563">
        <f t="array" ref="L57">IFERROR(INDEX(_xlfn._xlws.FILTER(INDIRECT(L$1&amp;"!$E1:$E10000"),INDIRECT(L$1&amp;"!$a1:$a10000")=汇总!$A57),COUNTIF(INDIRECT(L$1&amp;"!$a1:$a10000"),汇总!$A57)),L56)</f>
        <v/>
      </c>
      <c r="M57" s="563">
        <f t="array" ref="M57">IFERROR(INDEX(_xlfn._xlws.FILTER(INDIRECT(M$1&amp;"!$E1:$E10000"),INDIRECT(M$1&amp;"!$a1:$a10000")=汇总!$A57),COUNTIF(INDIRECT(M$1&amp;"!$a1:$a10000"),汇总!$A57)),M56)</f>
        <v/>
      </c>
      <c r="N57" s="563">
        <f t="array" ref="N57">IFERROR(INDEX(_xlfn._xlws.FILTER(INDIRECT(N$1&amp;"!$E1:$E10000"),INDIRECT(N$1&amp;"!$a1:$a10000")=汇总!$A57),COUNTIF(INDIRECT(N$1&amp;"!$a1:$a10000"),汇总!$A57)),N56)</f>
        <v/>
      </c>
      <c r="O57" s="563">
        <f t="array" ref="O57">IFERROR(INDEX(_xlfn._xlws.FILTER(INDIRECT(O$1&amp;"!$E1:$E10000"),INDIRECT(O$1&amp;"!$a1:$a10000")=汇总!$A57),COUNTIF(INDIRECT(O$1&amp;"!$a1:$a10000"),汇总!$A57)),O56)</f>
        <v/>
      </c>
      <c r="P57" s="563">
        <f t="array" ref="P57">IFERROR(INDEX(_xlfn._xlws.FILTER(INDIRECT(P$1&amp;"!$E1:$E10000"),INDIRECT(P$1&amp;"!$a1:$a10000")=汇总!$A57),COUNTIF(INDIRECT(P$1&amp;"!$a1:$a10000"),汇总!$A57)),P56)</f>
        <v/>
      </c>
      <c r="Q57" s="563">
        <f t="array" ref="Q57">IFERROR(INDEX(_xlfn._xlws.FILTER(INDIRECT(Q$1&amp;"!$E1:$E10000"),INDIRECT(Q$1&amp;"!$a1:$a10000")=汇总!$A57),COUNTIF(INDIRECT(Q$1&amp;"!$a1:$a10000"),汇总!$A57)),Q56)</f>
        <v/>
      </c>
      <c r="R57" s="563">
        <f t="array" ref="R57">IFERROR(INDEX(_xlfn._xlws.FILTER(INDIRECT(R$1&amp;"!$E1:$E10000"),INDIRECT(R$1&amp;"!$a1:$a10000")=汇总!$A57),COUNTIF(INDIRECT(R$1&amp;"!$a1:$a10000"),汇总!$A57)),R56)</f>
        <v/>
      </c>
      <c r="S57" s="563">
        <f t="array" ref="S57">IFERROR(INDEX(_xlfn._xlws.FILTER(INDIRECT(S$1&amp;"!$E1:$E10000"),INDIRECT(S$1&amp;"!$a1:$a10000")=汇总!$A57),COUNTIF(INDIRECT(S$1&amp;"!$a1:$a10000"),汇总!$A57)),S56)</f>
        <v/>
      </c>
    </row>
    <row r="58" hidden="1" s="326">
      <c r="A58" s="1">
        <f>+A57+1</f>
        <v/>
      </c>
      <c r="B58" s="563">
        <f t="array" ref="B58">IFERROR(INDEX(_xlfn._xlws.FILTER(INDIRECT(B$1&amp;"!$E1:$E10000"),INDIRECT(B$1&amp;"!$a1:$a10000")=汇总!$A58),COUNTIF(INDIRECT(B$1&amp;"!$a1:$a10000"),汇总!$A58)),B57)</f>
        <v/>
      </c>
      <c r="C58" s="563">
        <f t="array" ref="C58">IFERROR(INDEX(_xlfn._xlws.FILTER(INDIRECT(C$1&amp;"!$E1:$E10000"),INDIRECT(C$1&amp;"!$a1:$a10000")=汇总!$A58),COUNTIF(INDIRECT(C$1&amp;"!$a1:$a10000"),汇总!$A58)),C57)</f>
        <v/>
      </c>
      <c r="D58" s="563">
        <f t="array" ref="D58">IFERROR(INDEX(_xlfn._xlws.FILTER(INDIRECT(D$1&amp;"!$E1:$E10000"),INDIRECT(D$1&amp;"!$a1:$a10000")=汇总!$A58),COUNTIF(INDIRECT(D$1&amp;"!$a1:$a10000"),汇总!$A58)),D57)</f>
        <v/>
      </c>
      <c r="E58" s="563">
        <f t="array" ref="E58">IFERROR(INDEX(_xlfn._xlws.FILTER(INDIRECT(E$1&amp;"!$E1:$E10000"),INDIRECT(E$1&amp;"!$a1:$a10000")=汇总!$A58),COUNTIF(INDIRECT(E$1&amp;"!$a1:$a10000"),汇总!$A58)),E57)</f>
        <v/>
      </c>
      <c r="F58" s="563">
        <f t="array" ref="F58">IFERROR(INDEX(_xlfn._xlws.FILTER(INDIRECT(F$1&amp;"!$E1:$E10000"),INDIRECT(F$1&amp;"!$a1:$a10000")=汇总!$A58),COUNTIF(INDIRECT(F$1&amp;"!$a1:$a10000"),汇总!$A58)),F57)</f>
        <v/>
      </c>
      <c r="G58" s="563">
        <f t="array" ref="G58">IFERROR(INDEX(_xlfn._xlws.FILTER(INDIRECT(G$1&amp;"!$E1:$E10000"),INDIRECT(G$1&amp;"!$a1:$a10000")=汇总!$A58),COUNTIF(INDIRECT(G$1&amp;"!$a1:$a10000"),汇总!$A58)),G57)</f>
        <v/>
      </c>
      <c r="H58" s="563">
        <f t="array" ref="H58">IFERROR(INDEX(_xlfn._xlws.FILTER(INDIRECT(H$1&amp;"!$E1:$E10000"),INDIRECT(H$1&amp;"!$a1:$a10000")=汇总!$A58),COUNTIF(INDIRECT(H$1&amp;"!$a1:$a10000"),汇总!$A58)),H57)</f>
        <v/>
      </c>
      <c r="I58" s="563">
        <f t="array" ref="I58">IFERROR(INDEX(_xlfn._xlws.FILTER(INDIRECT(I$1&amp;"!$E1:$E10000"),INDIRECT(I$1&amp;"!$a1:$a10000")=汇总!$A58),COUNTIF(INDIRECT(I$1&amp;"!$a1:$a10000"),汇总!$A58)),I57)</f>
        <v/>
      </c>
      <c r="J58" s="563">
        <f t="array" ref="J58">IFERROR(INDEX(_xlfn._xlws.FILTER(INDIRECT(J$1&amp;"!$E1:$E10000"),INDIRECT(J$1&amp;"!$a1:$a10000")=汇总!$A58),COUNTIF(INDIRECT(J$1&amp;"!$a1:$a10000"),汇总!$A58)),J57)</f>
        <v/>
      </c>
      <c r="K58" s="563">
        <f t="array" ref="K58">IFERROR(INDEX(_xlfn._xlws.FILTER(INDIRECT(K$1&amp;"!$E1:$E10000"),INDIRECT(K$1&amp;"!$a1:$a10000")=汇总!$A58),COUNTIF(INDIRECT(K$1&amp;"!$a1:$a10000"),汇总!$A58)),K57)</f>
        <v/>
      </c>
      <c r="L58" s="563">
        <f t="array" ref="L58">IFERROR(INDEX(_xlfn._xlws.FILTER(INDIRECT(L$1&amp;"!$E1:$E10000"),INDIRECT(L$1&amp;"!$a1:$a10000")=汇总!$A58),COUNTIF(INDIRECT(L$1&amp;"!$a1:$a10000"),汇总!$A58)),L57)</f>
        <v/>
      </c>
      <c r="M58" s="563">
        <f t="array" ref="M58">IFERROR(INDEX(_xlfn._xlws.FILTER(INDIRECT(M$1&amp;"!$E1:$E10000"),INDIRECT(M$1&amp;"!$a1:$a10000")=汇总!$A58),COUNTIF(INDIRECT(M$1&amp;"!$a1:$a10000"),汇总!$A58)),M57)</f>
        <v/>
      </c>
      <c r="N58" s="563">
        <f t="array" ref="N58">IFERROR(INDEX(_xlfn._xlws.FILTER(INDIRECT(N$1&amp;"!$E1:$E10000"),INDIRECT(N$1&amp;"!$a1:$a10000")=汇总!$A58),COUNTIF(INDIRECT(N$1&amp;"!$a1:$a10000"),汇总!$A58)),N57)</f>
        <v/>
      </c>
      <c r="O58" s="563">
        <f t="array" ref="O58">IFERROR(INDEX(_xlfn._xlws.FILTER(INDIRECT(O$1&amp;"!$E1:$E10000"),INDIRECT(O$1&amp;"!$a1:$a10000")=汇总!$A58),COUNTIF(INDIRECT(O$1&amp;"!$a1:$a10000"),汇总!$A58)),O57)</f>
        <v/>
      </c>
      <c r="P58" s="563">
        <f t="array" ref="P58">IFERROR(INDEX(_xlfn._xlws.FILTER(INDIRECT(P$1&amp;"!$E1:$E10000"),INDIRECT(P$1&amp;"!$a1:$a10000")=汇总!$A58),COUNTIF(INDIRECT(P$1&amp;"!$a1:$a10000"),汇总!$A58)),P57)</f>
        <v/>
      </c>
      <c r="Q58" s="563">
        <f t="array" ref="Q58">IFERROR(INDEX(_xlfn._xlws.FILTER(INDIRECT(Q$1&amp;"!$E1:$E10000"),INDIRECT(Q$1&amp;"!$a1:$a10000")=汇总!$A58),COUNTIF(INDIRECT(Q$1&amp;"!$a1:$a10000"),汇总!$A58)),Q57)</f>
        <v/>
      </c>
      <c r="R58" s="563">
        <f t="array" ref="R58">IFERROR(INDEX(_xlfn._xlws.FILTER(INDIRECT(R$1&amp;"!$E1:$E10000"),INDIRECT(R$1&amp;"!$a1:$a10000")=汇总!$A58),COUNTIF(INDIRECT(R$1&amp;"!$a1:$a10000"),汇总!$A58)),R57)</f>
        <v/>
      </c>
      <c r="S58" s="563">
        <f t="array" ref="S58">IFERROR(INDEX(_xlfn._xlws.FILTER(INDIRECT(S$1&amp;"!$E1:$E10000"),INDIRECT(S$1&amp;"!$a1:$a10000")=汇总!$A58),COUNTIF(INDIRECT(S$1&amp;"!$a1:$a10000"),汇总!$A58)),S57)</f>
        <v/>
      </c>
    </row>
    <row r="59" hidden="1" s="326">
      <c r="A59" s="1">
        <f>+A58+1</f>
        <v/>
      </c>
      <c r="B59" s="563">
        <f t="array" ref="B59">IFERROR(INDEX(_xlfn._xlws.FILTER(INDIRECT(B$1&amp;"!$E1:$E10000"),INDIRECT(B$1&amp;"!$a1:$a10000")=汇总!$A59),COUNTIF(INDIRECT(B$1&amp;"!$a1:$a10000"),汇总!$A59)),B58)</f>
        <v/>
      </c>
      <c r="C59" s="563">
        <f t="array" ref="C59">IFERROR(INDEX(_xlfn._xlws.FILTER(INDIRECT(C$1&amp;"!$E1:$E10000"),INDIRECT(C$1&amp;"!$a1:$a10000")=汇总!$A59),COUNTIF(INDIRECT(C$1&amp;"!$a1:$a10000"),汇总!$A59)),C58)</f>
        <v/>
      </c>
      <c r="D59" s="563">
        <f t="array" ref="D59">IFERROR(INDEX(_xlfn._xlws.FILTER(INDIRECT(D$1&amp;"!$E1:$E10000"),INDIRECT(D$1&amp;"!$a1:$a10000")=汇总!$A59),COUNTIF(INDIRECT(D$1&amp;"!$a1:$a10000"),汇总!$A59)),D58)</f>
        <v/>
      </c>
      <c r="E59" s="563">
        <f t="array" ref="E59">IFERROR(INDEX(_xlfn._xlws.FILTER(INDIRECT(E$1&amp;"!$E1:$E10000"),INDIRECT(E$1&amp;"!$a1:$a10000")=汇总!$A59),COUNTIF(INDIRECT(E$1&amp;"!$a1:$a10000"),汇总!$A59)),E58)</f>
        <v/>
      </c>
      <c r="F59" s="563">
        <f t="array" ref="F59">IFERROR(INDEX(_xlfn._xlws.FILTER(INDIRECT(F$1&amp;"!$E1:$E10000"),INDIRECT(F$1&amp;"!$a1:$a10000")=汇总!$A59),COUNTIF(INDIRECT(F$1&amp;"!$a1:$a10000"),汇总!$A59)),F58)</f>
        <v/>
      </c>
      <c r="G59" s="563">
        <f t="array" ref="G59">IFERROR(INDEX(_xlfn._xlws.FILTER(INDIRECT(G$1&amp;"!$E1:$E10000"),INDIRECT(G$1&amp;"!$a1:$a10000")=汇总!$A59),COUNTIF(INDIRECT(G$1&amp;"!$a1:$a10000"),汇总!$A59)),G58)</f>
        <v/>
      </c>
      <c r="H59" s="563">
        <f t="array" ref="H59">IFERROR(INDEX(_xlfn._xlws.FILTER(INDIRECT(H$1&amp;"!$E1:$E10000"),INDIRECT(H$1&amp;"!$a1:$a10000")=汇总!$A59),COUNTIF(INDIRECT(H$1&amp;"!$a1:$a10000"),汇总!$A59)),H58)</f>
        <v/>
      </c>
      <c r="I59" s="563">
        <f t="array" ref="I59">IFERROR(INDEX(_xlfn._xlws.FILTER(INDIRECT(I$1&amp;"!$E1:$E10000"),INDIRECT(I$1&amp;"!$a1:$a10000")=汇总!$A59),COUNTIF(INDIRECT(I$1&amp;"!$a1:$a10000"),汇总!$A59)),I58)</f>
        <v/>
      </c>
      <c r="J59" s="563">
        <f t="array" ref="J59">IFERROR(INDEX(_xlfn._xlws.FILTER(INDIRECT(J$1&amp;"!$E1:$E10000"),INDIRECT(J$1&amp;"!$a1:$a10000")=汇总!$A59),COUNTIF(INDIRECT(J$1&amp;"!$a1:$a10000"),汇总!$A59)),J58)</f>
        <v/>
      </c>
      <c r="K59" s="563">
        <f t="array" ref="K59">IFERROR(INDEX(_xlfn._xlws.FILTER(INDIRECT(K$1&amp;"!$E1:$E10000"),INDIRECT(K$1&amp;"!$a1:$a10000")=汇总!$A59),COUNTIF(INDIRECT(K$1&amp;"!$a1:$a10000"),汇总!$A59)),K58)</f>
        <v/>
      </c>
      <c r="L59" s="563">
        <f t="array" ref="L59">IFERROR(INDEX(_xlfn._xlws.FILTER(INDIRECT(L$1&amp;"!$E1:$E10000"),INDIRECT(L$1&amp;"!$a1:$a10000")=汇总!$A59),COUNTIF(INDIRECT(L$1&amp;"!$a1:$a10000"),汇总!$A59)),L58)</f>
        <v/>
      </c>
      <c r="M59" s="563">
        <f t="array" ref="M59">IFERROR(INDEX(_xlfn._xlws.FILTER(INDIRECT(M$1&amp;"!$E1:$E10000"),INDIRECT(M$1&amp;"!$a1:$a10000")=汇总!$A59),COUNTIF(INDIRECT(M$1&amp;"!$a1:$a10000"),汇总!$A59)),M58)</f>
        <v/>
      </c>
      <c r="N59" s="563">
        <f t="array" ref="N59">IFERROR(INDEX(_xlfn._xlws.FILTER(INDIRECT(N$1&amp;"!$E1:$E10000"),INDIRECT(N$1&amp;"!$a1:$a10000")=汇总!$A59),COUNTIF(INDIRECT(N$1&amp;"!$a1:$a10000"),汇总!$A59)),N58)</f>
        <v/>
      </c>
      <c r="O59" s="563">
        <f t="array" ref="O59">IFERROR(INDEX(_xlfn._xlws.FILTER(INDIRECT(O$1&amp;"!$E1:$E10000"),INDIRECT(O$1&amp;"!$a1:$a10000")=汇总!$A59),COUNTIF(INDIRECT(O$1&amp;"!$a1:$a10000"),汇总!$A59)),O58)</f>
        <v/>
      </c>
      <c r="P59" s="563">
        <f t="array" ref="P59">IFERROR(INDEX(_xlfn._xlws.FILTER(INDIRECT(P$1&amp;"!$E1:$E10000"),INDIRECT(P$1&amp;"!$a1:$a10000")=汇总!$A59),COUNTIF(INDIRECT(P$1&amp;"!$a1:$a10000"),汇总!$A59)),P58)</f>
        <v/>
      </c>
      <c r="Q59" s="563">
        <f t="array" ref="Q59">IFERROR(INDEX(_xlfn._xlws.FILTER(INDIRECT(Q$1&amp;"!$E1:$E10000"),INDIRECT(Q$1&amp;"!$a1:$a10000")=汇总!$A59),COUNTIF(INDIRECT(Q$1&amp;"!$a1:$a10000"),汇总!$A59)),Q58)</f>
        <v/>
      </c>
      <c r="R59" s="563">
        <f t="array" ref="R59">IFERROR(INDEX(_xlfn._xlws.FILTER(INDIRECT(R$1&amp;"!$E1:$E10000"),INDIRECT(R$1&amp;"!$a1:$a10000")=汇总!$A59),COUNTIF(INDIRECT(R$1&amp;"!$a1:$a10000"),汇总!$A59)),R58)</f>
        <v/>
      </c>
      <c r="S59" s="563">
        <f t="array" ref="S59">IFERROR(INDEX(_xlfn._xlws.FILTER(INDIRECT(S$1&amp;"!$E1:$E10000"),INDIRECT(S$1&amp;"!$a1:$a10000")=汇总!$A59),COUNTIF(INDIRECT(S$1&amp;"!$a1:$a10000"),汇总!$A59)),S58)</f>
        <v/>
      </c>
    </row>
    <row r="60" hidden="1" s="326">
      <c r="A60" s="1">
        <f>+A59+1</f>
        <v/>
      </c>
      <c r="B60" s="563">
        <f t="array" ref="B60">IFERROR(INDEX(_xlfn._xlws.FILTER(INDIRECT(B$1&amp;"!$E1:$E10000"),INDIRECT(B$1&amp;"!$a1:$a10000")=汇总!$A60),COUNTIF(INDIRECT(B$1&amp;"!$a1:$a10000"),汇总!$A60)),B59)</f>
        <v/>
      </c>
      <c r="C60" s="563">
        <f t="array" ref="C60">IFERROR(INDEX(_xlfn._xlws.FILTER(INDIRECT(C$1&amp;"!$E1:$E10000"),INDIRECT(C$1&amp;"!$a1:$a10000")=汇总!$A60),COUNTIF(INDIRECT(C$1&amp;"!$a1:$a10000"),汇总!$A60)),C59)</f>
        <v/>
      </c>
      <c r="D60" s="563">
        <f t="array" ref="D60">IFERROR(INDEX(_xlfn._xlws.FILTER(INDIRECT(D$1&amp;"!$E1:$E10000"),INDIRECT(D$1&amp;"!$a1:$a10000")=汇总!$A60),COUNTIF(INDIRECT(D$1&amp;"!$a1:$a10000"),汇总!$A60)),D59)</f>
        <v/>
      </c>
      <c r="E60" s="563">
        <f t="array" ref="E60">IFERROR(INDEX(_xlfn._xlws.FILTER(INDIRECT(E$1&amp;"!$E1:$E10000"),INDIRECT(E$1&amp;"!$a1:$a10000")=汇总!$A60),COUNTIF(INDIRECT(E$1&amp;"!$a1:$a10000"),汇总!$A60)),E59)</f>
        <v/>
      </c>
      <c r="F60" s="563">
        <f t="array" ref="F60">IFERROR(INDEX(_xlfn._xlws.FILTER(INDIRECT(F$1&amp;"!$E1:$E10000"),INDIRECT(F$1&amp;"!$a1:$a10000")=汇总!$A60),COUNTIF(INDIRECT(F$1&amp;"!$a1:$a10000"),汇总!$A60)),F59)</f>
        <v/>
      </c>
      <c r="G60" s="563">
        <f t="array" ref="G60">IFERROR(INDEX(_xlfn._xlws.FILTER(INDIRECT(G$1&amp;"!$E1:$E10000"),INDIRECT(G$1&amp;"!$a1:$a10000")=汇总!$A60),COUNTIF(INDIRECT(G$1&amp;"!$a1:$a10000"),汇总!$A60)),G59)</f>
        <v/>
      </c>
      <c r="H60" s="563">
        <f t="array" ref="H60">IFERROR(INDEX(_xlfn._xlws.FILTER(INDIRECT(H$1&amp;"!$E1:$E10000"),INDIRECT(H$1&amp;"!$a1:$a10000")=汇总!$A60),COUNTIF(INDIRECT(H$1&amp;"!$a1:$a10000"),汇总!$A60)),H59)</f>
        <v/>
      </c>
      <c r="I60" s="563">
        <f t="array" ref="I60">IFERROR(INDEX(_xlfn._xlws.FILTER(INDIRECT(I$1&amp;"!$E1:$E10000"),INDIRECT(I$1&amp;"!$a1:$a10000")=汇总!$A60),COUNTIF(INDIRECT(I$1&amp;"!$a1:$a10000"),汇总!$A60)),I59)</f>
        <v/>
      </c>
      <c r="J60" s="563">
        <f t="array" ref="J60">IFERROR(INDEX(_xlfn._xlws.FILTER(INDIRECT(J$1&amp;"!$E1:$E10000"),INDIRECT(J$1&amp;"!$a1:$a10000")=汇总!$A60),COUNTIF(INDIRECT(J$1&amp;"!$a1:$a10000"),汇总!$A60)),J59)</f>
        <v/>
      </c>
      <c r="K60" s="563">
        <f t="array" ref="K60">IFERROR(INDEX(_xlfn._xlws.FILTER(INDIRECT(K$1&amp;"!$E1:$E10000"),INDIRECT(K$1&amp;"!$a1:$a10000")=汇总!$A60),COUNTIF(INDIRECT(K$1&amp;"!$a1:$a10000"),汇总!$A60)),K59)</f>
        <v/>
      </c>
      <c r="L60" s="563">
        <f t="array" ref="L60">IFERROR(INDEX(_xlfn._xlws.FILTER(INDIRECT(L$1&amp;"!$E1:$E10000"),INDIRECT(L$1&amp;"!$a1:$a10000")=汇总!$A60),COUNTIF(INDIRECT(L$1&amp;"!$a1:$a10000"),汇总!$A60)),L59)</f>
        <v/>
      </c>
      <c r="M60" s="563">
        <f t="array" ref="M60">IFERROR(INDEX(_xlfn._xlws.FILTER(INDIRECT(M$1&amp;"!$E1:$E10000"),INDIRECT(M$1&amp;"!$a1:$a10000")=汇总!$A60),COUNTIF(INDIRECT(M$1&amp;"!$a1:$a10000"),汇总!$A60)),M59)</f>
        <v/>
      </c>
      <c r="N60" s="563">
        <f t="array" ref="N60">IFERROR(INDEX(_xlfn._xlws.FILTER(INDIRECT(N$1&amp;"!$E1:$E10000"),INDIRECT(N$1&amp;"!$a1:$a10000")=汇总!$A60),COUNTIF(INDIRECT(N$1&amp;"!$a1:$a10000"),汇总!$A60)),N59)</f>
        <v/>
      </c>
      <c r="O60" s="563">
        <f t="array" ref="O60">IFERROR(INDEX(_xlfn._xlws.FILTER(INDIRECT(O$1&amp;"!$E1:$E10000"),INDIRECT(O$1&amp;"!$a1:$a10000")=汇总!$A60),COUNTIF(INDIRECT(O$1&amp;"!$a1:$a10000"),汇总!$A60)),O59)</f>
        <v/>
      </c>
      <c r="P60" s="563">
        <f t="array" ref="P60">IFERROR(INDEX(_xlfn._xlws.FILTER(INDIRECT(P$1&amp;"!$E1:$E10000"),INDIRECT(P$1&amp;"!$a1:$a10000")=汇总!$A60),COUNTIF(INDIRECT(P$1&amp;"!$a1:$a10000"),汇总!$A60)),P59)</f>
        <v/>
      </c>
      <c r="Q60" s="563">
        <f t="array" ref="Q60">IFERROR(INDEX(_xlfn._xlws.FILTER(INDIRECT(Q$1&amp;"!$E1:$E10000"),INDIRECT(Q$1&amp;"!$a1:$a10000")=汇总!$A60),COUNTIF(INDIRECT(Q$1&amp;"!$a1:$a10000"),汇总!$A60)),Q59)</f>
        <v/>
      </c>
      <c r="R60" s="563">
        <f t="array" ref="R60">IFERROR(INDEX(_xlfn._xlws.FILTER(INDIRECT(R$1&amp;"!$E1:$E10000"),INDIRECT(R$1&amp;"!$a1:$a10000")=汇总!$A60),COUNTIF(INDIRECT(R$1&amp;"!$a1:$a10000"),汇总!$A60)),R59)</f>
        <v/>
      </c>
      <c r="S60" s="563">
        <f t="array" ref="S60">IFERROR(INDEX(_xlfn._xlws.FILTER(INDIRECT(S$1&amp;"!$E1:$E10000"),INDIRECT(S$1&amp;"!$a1:$a10000")=汇总!$A60),COUNTIF(INDIRECT(S$1&amp;"!$a1:$a10000"),汇总!$A60)),S59)</f>
        <v/>
      </c>
    </row>
    <row r="61" hidden="1" s="326">
      <c r="A61" s="1">
        <f>+A60+1</f>
        <v/>
      </c>
      <c r="B61" s="563">
        <f t="array" ref="B61">IFERROR(INDEX(_xlfn._xlws.FILTER(INDIRECT(B$1&amp;"!$E1:$E10000"),INDIRECT(B$1&amp;"!$a1:$a10000")=汇总!$A61),COUNTIF(INDIRECT(B$1&amp;"!$a1:$a10000"),汇总!$A61)),B60)</f>
        <v/>
      </c>
      <c r="C61" s="563">
        <f t="array" ref="C61">IFERROR(INDEX(_xlfn._xlws.FILTER(INDIRECT(C$1&amp;"!$E1:$E10000"),INDIRECT(C$1&amp;"!$a1:$a10000")=汇总!$A61),COUNTIF(INDIRECT(C$1&amp;"!$a1:$a10000"),汇总!$A61)),C60)</f>
        <v/>
      </c>
      <c r="D61" s="563">
        <f t="array" ref="D61">IFERROR(INDEX(_xlfn._xlws.FILTER(INDIRECT(D$1&amp;"!$E1:$E10000"),INDIRECT(D$1&amp;"!$a1:$a10000")=汇总!$A61),COUNTIF(INDIRECT(D$1&amp;"!$a1:$a10000"),汇总!$A61)),D60)</f>
        <v/>
      </c>
      <c r="E61" s="563">
        <f t="array" ref="E61">IFERROR(INDEX(_xlfn._xlws.FILTER(INDIRECT(E$1&amp;"!$E1:$E10000"),INDIRECT(E$1&amp;"!$a1:$a10000")=汇总!$A61),COUNTIF(INDIRECT(E$1&amp;"!$a1:$a10000"),汇总!$A61)),E60)</f>
        <v/>
      </c>
      <c r="F61" s="563">
        <f t="array" ref="F61">IFERROR(INDEX(_xlfn._xlws.FILTER(INDIRECT(F$1&amp;"!$E1:$E10000"),INDIRECT(F$1&amp;"!$a1:$a10000")=汇总!$A61),COUNTIF(INDIRECT(F$1&amp;"!$a1:$a10000"),汇总!$A61)),F60)</f>
        <v/>
      </c>
      <c r="G61" s="563">
        <f t="array" ref="G61">IFERROR(INDEX(_xlfn._xlws.FILTER(INDIRECT(G$1&amp;"!$E1:$E10000"),INDIRECT(G$1&amp;"!$a1:$a10000")=汇总!$A61),COUNTIF(INDIRECT(G$1&amp;"!$a1:$a10000"),汇总!$A61)),G60)</f>
        <v/>
      </c>
      <c r="H61" s="563">
        <f t="array" ref="H61">IFERROR(INDEX(_xlfn._xlws.FILTER(INDIRECT(H$1&amp;"!$E1:$E10000"),INDIRECT(H$1&amp;"!$a1:$a10000")=汇总!$A61),COUNTIF(INDIRECT(H$1&amp;"!$a1:$a10000"),汇总!$A61)),H60)</f>
        <v/>
      </c>
      <c r="I61" s="563">
        <f t="array" ref="I61">IFERROR(INDEX(_xlfn._xlws.FILTER(INDIRECT(I$1&amp;"!$E1:$E10000"),INDIRECT(I$1&amp;"!$a1:$a10000")=汇总!$A61),COUNTIF(INDIRECT(I$1&amp;"!$a1:$a10000"),汇总!$A61)),I60)</f>
        <v/>
      </c>
      <c r="J61" s="563">
        <f t="array" ref="J61">IFERROR(INDEX(_xlfn._xlws.FILTER(INDIRECT(J$1&amp;"!$E1:$E10000"),INDIRECT(J$1&amp;"!$a1:$a10000")=汇总!$A61),COUNTIF(INDIRECT(J$1&amp;"!$a1:$a10000"),汇总!$A61)),J60)</f>
        <v/>
      </c>
      <c r="K61" s="563">
        <f t="array" ref="K61">IFERROR(INDEX(_xlfn._xlws.FILTER(INDIRECT(K$1&amp;"!$E1:$E10000"),INDIRECT(K$1&amp;"!$a1:$a10000")=汇总!$A61),COUNTIF(INDIRECT(K$1&amp;"!$a1:$a10000"),汇总!$A61)),K60)</f>
        <v/>
      </c>
      <c r="L61" s="563">
        <f t="array" ref="L61">IFERROR(INDEX(_xlfn._xlws.FILTER(INDIRECT(L$1&amp;"!$E1:$E10000"),INDIRECT(L$1&amp;"!$a1:$a10000")=汇总!$A61),COUNTIF(INDIRECT(L$1&amp;"!$a1:$a10000"),汇总!$A61)),L60)</f>
        <v/>
      </c>
      <c r="M61" s="563">
        <f t="array" ref="M61">IFERROR(INDEX(_xlfn._xlws.FILTER(INDIRECT(M$1&amp;"!$E1:$E10000"),INDIRECT(M$1&amp;"!$a1:$a10000")=汇总!$A61),COUNTIF(INDIRECT(M$1&amp;"!$a1:$a10000"),汇总!$A61)),M60)</f>
        <v/>
      </c>
      <c r="N61" s="563">
        <f t="array" ref="N61">IFERROR(INDEX(_xlfn._xlws.FILTER(INDIRECT(N$1&amp;"!$E1:$E10000"),INDIRECT(N$1&amp;"!$a1:$a10000")=汇总!$A61),COUNTIF(INDIRECT(N$1&amp;"!$a1:$a10000"),汇总!$A61)),N60)</f>
        <v/>
      </c>
      <c r="O61" s="563">
        <f t="array" ref="O61">IFERROR(INDEX(_xlfn._xlws.FILTER(INDIRECT(O$1&amp;"!$E1:$E10000"),INDIRECT(O$1&amp;"!$a1:$a10000")=汇总!$A61),COUNTIF(INDIRECT(O$1&amp;"!$a1:$a10000"),汇总!$A61)),O60)</f>
        <v/>
      </c>
      <c r="P61" s="563">
        <f t="array" ref="P61">IFERROR(INDEX(_xlfn._xlws.FILTER(INDIRECT(P$1&amp;"!$E1:$E10000"),INDIRECT(P$1&amp;"!$a1:$a10000")=汇总!$A61),COUNTIF(INDIRECT(P$1&amp;"!$a1:$a10000"),汇总!$A61)),P60)</f>
        <v/>
      </c>
      <c r="Q61" s="563">
        <f t="array" ref="Q61">IFERROR(INDEX(_xlfn._xlws.FILTER(INDIRECT(Q$1&amp;"!$E1:$E10000"),INDIRECT(Q$1&amp;"!$a1:$a10000")=汇总!$A61),COUNTIF(INDIRECT(Q$1&amp;"!$a1:$a10000"),汇总!$A61)),Q60)</f>
        <v/>
      </c>
      <c r="R61" s="563">
        <f t="array" ref="R61">IFERROR(INDEX(_xlfn._xlws.FILTER(INDIRECT(R$1&amp;"!$E1:$E10000"),INDIRECT(R$1&amp;"!$a1:$a10000")=汇总!$A61),COUNTIF(INDIRECT(R$1&amp;"!$a1:$a10000"),汇总!$A61)),R60)</f>
        <v/>
      </c>
      <c r="S61" s="563">
        <f t="array" ref="S61">IFERROR(INDEX(_xlfn._xlws.FILTER(INDIRECT(S$1&amp;"!$E1:$E10000"),INDIRECT(S$1&amp;"!$a1:$a10000")=汇总!$A61),COUNTIF(INDIRECT(S$1&amp;"!$a1:$a10000"),汇总!$A61)),S60)</f>
        <v/>
      </c>
    </row>
    <row r="62" hidden="1" s="326">
      <c r="A62" s="1">
        <f>+A61+1</f>
        <v/>
      </c>
      <c r="B62" s="563">
        <f t="array" ref="B62">IFERROR(INDEX(_xlfn._xlws.FILTER(INDIRECT(B$1&amp;"!$E1:$E10000"),INDIRECT(B$1&amp;"!$a1:$a10000")=汇总!$A62),COUNTIF(INDIRECT(B$1&amp;"!$a1:$a10000"),汇总!$A62)),B61)</f>
        <v/>
      </c>
      <c r="C62" s="563">
        <f t="array" ref="C62">IFERROR(INDEX(_xlfn._xlws.FILTER(INDIRECT(C$1&amp;"!$E1:$E10000"),INDIRECT(C$1&amp;"!$a1:$a10000")=汇总!$A62),COUNTIF(INDIRECT(C$1&amp;"!$a1:$a10000"),汇总!$A62)),C61)</f>
        <v/>
      </c>
      <c r="D62" s="563">
        <f t="array" ref="D62">IFERROR(INDEX(_xlfn._xlws.FILTER(INDIRECT(D$1&amp;"!$E1:$E10000"),INDIRECT(D$1&amp;"!$a1:$a10000")=汇总!$A62),COUNTIF(INDIRECT(D$1&amp;"!$a1:$a10000"),汇总!$A62)),D61)</f>
        <v/>
      </c>
      <c r="E62" s="563">
        <f t="array" ref="E62">IFERROR(INDEX(_xlfn._xlws.FILTER(INDIRECT(E$1&amp;"!$E1:$E10000"),INDIRECT(E$1&amp;"!$a1:$a10000")=汇总!$A62),COUNTIF(INDIRECT(E$1&amp;"!$a1:$a10000"),汇总!$A62)),E61)</f>
        <v/>
      </c>
      <c r="F62" s="563">
        <f t="array" ref="F62">IFERROR(INDEX(_xlfn._xlws.FILTER(INDIRECT(F$1&amp;"!$E1:$E10000"),INDIRECT(F$1&amp;"!$a1:$a10000")=汇总!$A62),COUNTIF(INDIRECT(F$1&amp;"!$a1:$a10000"),汇总!$A62)),F61)</f>
        <v/>
      </c>
      <c r="G62" s="563">
        <f t="array" ref="G62">IFERROR(INDEX(_xlfn._xlws.FILTER(INDIRECT(G$1&amp;"!$E1:$E10000"),INDIRECT(G$1&amp;"!$a1:$a10000")=汇总!$A62),COUNTIF(INDIRECT(G$1&amp;"!$a1:$a10000"),汇总!$A62)),G61)</f>
        <v/>
      </c>
      <c r="H62" s="563">
        <f t="array" ref="H62">IFERROR(INDEX(_xlfn._xlws.FILTER(INDIRECT(H$1&amp;"!$E1:$E10000"),INDIRECT(H$1&amp;"!$a1:$a10000")=汇总!$A62),COUNTIF(INDIRECT(H$1&amp;"!$a1:$a10000"),汇总!$A62)),H61)</f>
        <v/>
      </c>
      <c r="I62" s="563">
        <f t="array" ref="I62">IFERROR(INDEX(_xlfn._xlws.FILTER(INDIRECT(I$1&amp;"!$E1:$E10000"),INDIRECT(I$1&amp;"!$a1:$a10000")=汇总!$A62),COUNTIF(INDIRECT(I$1&amp;"!$a1:$a10000"),汇总!$A62)),I61)</f>
        <v/>
      </c>
      <c r="J62" s="563">
        <f t="array" ref="J62">IFERROR(INDEX(_xlfn._xlws.FILTER(INDIRECT(J$1&amp;"!$E1:$E10000"),INDIRECT(J$1&amp;"!$a1:$a10000")=汇总!$A62),COUNTIF(INDIRECT(J$1&amp;"!$a1:$a10000"),汇总!$A62)),J61)</f>
        <v/>
      </c>
      <c r="K62" s="563">
        <f t="array" ref="K62">IFERROR(INDEX(_xlfn._xlws.FILTER(INDIRECT(K$1&amp;"!$E1:$E10000"),INDIRECT(K$1&amp;"!$a1:$a10000")=汇总!$A62),COUNTIF(INDIRECT(K$1&amp;"!$a1:$a10000"),汇总!$A62)),K61)</f>
        <v/>
      </c>
      <c r="L62" s="563">
        <f t="array" ref="L62">IFERROR(INDEX(_xlfn._xlws.FILTER(INDIRECT(L$1&amp;"!$E1:$E10000"),INDIRECT(L$1&amp;"!$a1:$a10000")=汇总!$A62),COUNTIF(INDIRECT(L$1&amp;"!$a1:$a10000"),汇总!$A62)),L61)</f>
        <v/>
      </c>
      <c r="M62" s="563">
        <f t="array" ref="M62">IFERROR(INDEX(_xlfn._xlws.FILTER(INDIRECT(M$1&amp;"!$E1:$E10000"),INDIRECT(M$1&amp;"!$a1:$a10000")=汇总!$A62),COUNTIF(INDIRECT(M$1&amp;"!$a1:$a10000"),汇总!$A62)),M61)</f>
        <v/>
      </c>
      <c r="N62" s="563">
        <f t="array" ref="N62">IFERROR(INDEX(_xlfn._xlws.FILTER(INDIRECT(N$1&amp;"!$E1:$E10000"),INDIRECT(N$1&amp;"!$a1:$a10000")=汇总!$A62),COUNTIF(INDIRECT(N$1&amp;"!$a1:$a10000"),汇总!$A62)),N61)</f>
        <v/>
      </c>
      <c r="O62" s="563">
        <f t="array" ref="O62">IFERROR(INDEX(_xlfn._xlws.FILTER(INDIRECT(O$1&amp;"!$E1:$E10000"),INDIRECT(O$1&amp;"!$a1:$a10000")=汇总!$A62),COUNTIF(INDIRECT(O$1&amp;"!$a1:$a10000"),汇总!$A62)),O61)</f>
        <v/>
      </c>
      <c r="P62" s="563">
        <f t="array" ref="P62">IFERROR(INDEX(_xlfn._xlws.FILTER(INDIRECT(P$1&amp;"!$E1:$E10000"),INDIRECT(P$1&amp;"!$a1:$a10000")=汇总!$A62),COUNTIF(INDIRECT(P$1&amp;"!$a1:$a10000"),汇总!$A62)),P61)</f>
        <v/>
      </c>
      <c r="Q62" s="563">
        <f t="array" ref="Q62">IFERROR(INDEX(_xlfn._xlws.FILTER(INDIRECT(Q$1&amp;"!$E1:$E10000"),INDIRECT(Q$1&amp;"!$a1:$a10000")=汇总!$A62),COUNTIF(INDIRECT(Q$1&amp;"!$a1:$a10000"),汇总!$A62)),Q61)</f>
        <v/>
      </c>
      <c r="R62" s="563">
        <f t="array" ref="R62">IFERROR(INDEX(_xlfn._xlws.FILTER(INDIRECT(R$1&amp;"!$E1:$E10000"),INDIRECT(R$1&amp;"!$a1:$a10000")=汇总!$A62),COUNTIF(INDIRECT(R$1&amp;"!$a1:$a10000"),汇总!$A62)),R61)</f>
        <v/>
      </c>
      <c r="S62" s="563">
        <f t="array" ref="S62">IFERROR(INDEX(_xlfn._xlws.FILTER(INDIRECT(S$1&amp;"!$E1:$E10000"),INDIRECT(S$1&amp;"!$a1:$a10000")=汇总!$A62),COUNTIF(INDIRECT(S$1&amp;"!$a1:$a10000"),汇总!$A62)),S61)</f>
        <v/>
      </c>
    </row>
    <row r="63" hidden="1" s="326">
      <c r="A63" s="1">
        <f>+A62+1</f>
        <v/>
      </c>
      <c r="B63" s="563">
        <f t="array" ref="B63">IFERROR(INDEX(_xlfn._xlws.FILTER(INDIRECT(B$1&amp;"!$E1:$E10000"),INDIRECT(B$1&amp;"!$a1:$a10000")=汇总!$A63),COUNTIF(INDIRECT(B$1&amp;"!$a1:$a10000"),汇总!$A63)),B62)</f>
        <v/>
      </c>
      <c r="C63" s="563">
        <f t="array" ref="C63">IFERROR(INDEX(_xlfn._xlws.FILTER(INDIRECT(C$1&amp;"!$E1:$E10000"),INDIRECT(C$1&amp;"!$a1:$a10000")=汇总!$A63),COUNTIF(INDIRECT(C$1&amp;"!$a1:$a10000"),汇总!$A63)),C62)</f>
        <v/>
      </c>
      <c r="D63" s="563">
        <f t="array" ref="D63">IFERROR(INDEX(_xlfn._xlws.FILTER(INDIRECT(D$1&amp;"!$E1:$E10000"),INDIRECT(D$1&amp;"!$a1:$a10000")=汇总!$A63),COUNTIF(INDIRECT(D$1&amp;"!$a1:$a10000"),汇总!$A63)),D62)</f>
        <v/>
      </c>
      <c r="E63" s="563">
        <f t="array" ref="E63">IFERROR(INDEX(_xlfn._xlws.FILTER(INDIRECT(E$1&amp;"!$E1:$E10000"),INDIRECT(E$1&amp;"!$a1:$a10000")=汇总!$A63),COUNTIF(INDIRECT(E$1&amp;"!$a1:$a10000"),汇总!$A63)),E62)</f>
        <v/>
      </c>
      <c r="F63" s="563">
        <f t="array" ref="F63">IFERROR(INDEX(_xlfn._xlws.FILTER(INDIRECT(F$1&amp;"!$E1:$E10000"),INDIRECT(F$1&amp;"!$a1:$a10000")=汇总!$A63),COUNTIF(INDIRECT(F$1&amp;"!$a1:$a10000"),汇总!$A63)),F62)</f>
        <v/>
      </c>
      <c r="G63" s="563">
        <f t="array" ref="G63">IFERROR(INDEX(_xlfn._xlws.FILTER(INDIRECT(G$1&amp;"!$E1:$E10000"),INDIRECT(G$1&amp;"!$a1:$a10000")=汇总!$A63),COUNTIF(INDIRECT(G$1&amp;"!$a1:$a10000"),汇总!$A63)),G62)</f>
        <v/>
      </c>
      <c r="H63" s="563">
        <f t="array" ref="H63">IFERROR(INDEX(_xlfn._xlws.FILTER(INDIRECT(H$1&amp;"!$E1:$E10000"),INDIRECT(H$1&amp;"!$a1:$a10000")=汇总!$A63),COUNTIF(INDIRECT(H$1&amp;"!$a1:$a10000"),汇总!$A63)),H62)</f>
        <v/>
      </c>
      <c r="I63" s="563">
        <f t="array" ref="I63">IFERROR(INDEX(_xlfn._xlws.FILTER(INDIRECT(I$1&amp;"!$E1:$E10000"),INDIRECT(I$1&amp;"!$a1:$a10000")=汇总!$A63),COUNTIF(INDIRECT(I$1&amp;"!$a1:$a10000"),汇总!$A63)),I62)</f>
        <v/>
      </c>
      <c r="J63" s="563">
        <f t="array" ref="J63">IFERROR(INDEX(_xlfn._xlws.FILTER(INDIRECT(J$1&amp;"!$E1:$E10000"),INDIRECT(J$1&amp;"!$a1:$a10000")=汇总!$A63),COUNTIF(INDIRECT(J$1&amp;"!$a1:$a10000"),汇总!$A63)),J62)</f>
        <v/>
      </c>
      <c r="K63" s="563">
        <f t="array" ref="K63">IFERROR(INDEX(_xlfn._xlws.FILTER(INDIRECT(K$1&amp;"!$E1:$E10000"),INDIRECT(K$1&amp;"!$a1:$a10000")=汇总!$A63),COUNTIF(INDIRECT(K$1&amp;"!$a1:$a10000"),汇总!$A63)),K62)</f>
        <v/>
      </c>
      <c r="L63" s="563">
        <f t="array" ref="L63">IFERROR(INDEX(_xlfn._xlws.FILTER(INDIRECT(L$1&amp;"!$E1:$E10000"),INDIRECT(L$1&amp;"!$a1:$a10000")=汇总!$A63),COUNTIF(INDIRECT(L$1&amp;"!$a1:$a10000"),汇总!$A63)),L62)</f>
        <v/>
      </c>
      <c r="M63" s="563">
        <f t="array" ref="M63">IFERROR(INDEX(_xlfn._xlws.FILTER(INDIRECT(M$1&amp;"!$E1:$E10000"),INDIRECT(M$1&amp;"!$a1:$a10000")=汇总!$A63),COUNTIF(INDIRECT(M$1&amp;"!$a1:$a10000"),汇总!$A63)),M62)</f>
        <v/>
      </c>
      <c r="N63" s="563">
        <f t="array" ref="N63">IFERROR(INDEX(_xlfn._xlws.FILTER(INDIRECT(N$1&amp;"!$E1:$E10000"),INDIRECT(N$1&amp;"!$a1:$a10000")=汇总!$A63),COUNTIF(INDIRECT(N$1&amp;"!$a1:$a10000"),汇总!$A63)),N62)</f>
        <v/>
      </c>
      <c r="O63" s="563">
        <f t="array" ref="O63">IFERROR(INDEX(_xlfn._xlws.FILTER(INDIRECT(O$1&amp;"!$E1:$E10000"),INDIRECT(O$1&amp;"!$a1:$a10000")=汇总!$A63),COUNTIF(INDIRECT(O$1&amp;"!$a1:$a10000"),汇总!$A63)),O62)</f>
        <v/>
      </c>
      <c r="P63" s="563">
        <f t="array" ref="P63">IFERROR(INDEX(_xlfn._xlws.FILTER(INDIRECT(P$1&amp;"!$E1:$E10000"),INDIRECT(P$1&amp;"!$a1:$a10000")=汇总!$A63),COUNTIF(INDIRECT(P$1&amp;"!$a1:$a10000"),汇总!$A63)),P62)</f>
        <v/>
      </c>
      <c r="Q63" s="563">
        <f t="array" ref="Q63">IFERROR(INDEX(_xlfn._xlws.FILTER(INDIRECT(Q$1&amp;"!$E1:$E10000"),INDIRECT(Q$1&amp;"!$a1:$a10000")=汇总!$A63),COUNTIF(INDIRECT(Q$1&amp;"!$a1:$a10000"),汇总!$A63)),Q62)</f>
        <v/>
      </c>
      <c r="R63" s="563">
        <f t="array" ref="R63">IFERROR(INDEX(_xlfn._xlws.FILTER(INDIRECT(R$1&amp;"!$E1:$E10000"),INDIRECT(R$1&amp;"!$a1:$a10000")=汇总!$A63),COUNTIF(INDIRECT(R$1&amp;"!$a1:$a10000"),汇总!$A63)),R62)</f>
        <v/>
      </c>
      <c r="S63" s="563">
        <f t="array" ref="S63">IFERROR(INDEX(_xlfn._xlws.FILTER(INDIRECT(S$1&amp;"!$E1:$E10000"),INDIRECT(S$1&amp;"!$a1:$a10000")=汇总!$A63),COUNTIF(INDIRECT(S$1&amp;"!$a1:$a10000"),汇总!$A63)),S62)</f>
        <v/>
      </c>
    </row>
    <row r="64" hidden="1" s="326">
      <c r="A64" s="1">
        <f>+A63+1</f>
        <v/>
      </c>
      <c r="B64" s="563">
        <f t="array" ref="B64">IFERROR(INDEX(_xlfn._xlws.FILTER(INDIRECT(B$1&amp;"!$E1:$E10000"),INDIRECT(B$1&amp;"!$a1:$a10000")=汇总!$A64),COUNTIF(INDIRECT(B$1&amp;"!$a1:$a10000"),汇总!$A64)),B63)</f>
        <v/>
      </c>
      <c r="C64" s="563">
        <f t="array" ref="C64">IFERROR(INDEX(_xlfn._xlws.FILTER(INDIRECT(C$1&amp;"!$E1:$E10000"),INDIRECT(C$1&amp;"!$a1:$a10000")=汇总!$A64),COUNTIF(INDIRECT(C$1&amp;"!$a1:$a10000"),汇总!$A64)),C63)</f>
        <v/>
      </c>
      <c r="D64" s="563">
        <f t="array" ref="D64">IFERROR(INDEX(_xlfn._xlws.FILTER(INDIRECT(D$1&amp;"!$E1:$E10000"),INDIRECT(D$1&amp;"!$a1:$a10000")=汇总!$A64),COUNTIF(INDIRECT(D$1&amp;"!$a1:$a10000"),汇总!$A64)),D63)</f>
        <v/>
      </c>
      <c r="E64" s="563">
        <f t="array" ref="E64">IFERROR(INDEX(_xlfn._xlws.FILTER(INDIRECT(E$1&amp;"!$E1:$E10000"),INDIRECT(E$1&amp;"!$a1:$a10000")=汇总!$A64),COUNTIF(INDIRECT(E$1&amp;"!$a1:$a10000"),汇总!$A64)),E63)</f>
        <v/>
      </c>
      <c r="F64" s="563">
        <f t="array" ref="F64">IFERROR(INDEX(_xlfn._xlws.FILTER(INDIRECT(F$1&amp;"!$E1:$E10000"),INDIRECT(F$1&amp;"!$a1:$a10000")=汇总!$A64),COUNTIF(INDIRECT(F$1&amp;"!$a1:$a10000"),汇总!$A64)),F63)</f>
        <v/>
      </c>
      <c r="G64" s="563">
        <f t="array" ref="G64">IFERROR(INDEX(_xlfn._xlws.FILTER(INDIRECT(G$1&amp;"!$E1:$E10000"),INDIRECT(G$1&amp;"!$a1:$a10000")=汇总!$A64),COUNTIF(INDIRECT(G$1&amp;"!$a1:$a10000"),汇总!$A64)),G63)</f>
        <v/>
      </c>
      <c r="H64" s="563">
        <f t="array" ref="H64">IFERROR(INDEX(_xlfn._xlws.FILTER(INDIRECT(H$1&amp;"!$E1:$E10000"),INDIRECT(H$1&amp;"!$a1:$a10000")=汇总!$A64),COUNTIF(INDIRECT(H$1&amp;"!$a1:$a10000"),汇总!$A64)),H63)</f>
        <v/>
      </c>
      <c r="I64" s="563">
        <f t="array" ref="I64">IFERROR(INDEX(_xlfn._xlws.FILTER(INDIRECT(I$1&amp;"!$E1:$E10000"),INDIRECT(I$1&amp;"!$a1:$a10000")=汇总!$A64),COUNTIF(INDIRECT(I$1&amp;"!$a1:$a10000"),汇总!$A64)),I63)</f>
        <v/>
      </c>
      <c r="J64" s="563">
        <f t="array" ref="J64">IFERROR(INDEX(_xlfn._xlws.FILTER(INDIRECT(J$1&amp;"!$E1:$E10000"),INDIRECT(J$1&amp;"!$a1:$a10000")=汇总!$A64),COUNTIF(INDIRECT(J$1&amp;"!$a1:$a10000"),汇总!$A64)),J63)</f>
        <v/>
      </c>
      <c r="K64" s="563">
        <f t="array" ref="K64">IFERROR(INDEX(_xlfn._xlws.FILTER(INDIRECT(K$1&amp;"!$E1:$E10000"),INDIRECT(K$1&amp;"!$a1:$a10000")=汇总!$A64),COUNTIF(INDIRECT(K$1&amp;"!$a1:$a10000"),汇总!$A64)),K63)</f>
        <v/>
      </c>
      <c r="L64" s="563">
        <f t="array" ref="L64">IFERROR(INDEX(_xlfn._xlws.FILTER(INDIRECT(L$1&amp;"!$E1:$E10000"),INDIRECT(L$1&amp;"!$a1:$a10000")=汇总!$A64),COUNTIF(INDIRECT(L$1&amp;"!$a1:$a10000"),汇总!$A64)),L63)</f>
        <v/>
      </c>
      <c r="M64" s="563">
        <f t="array" ref="M64">IFERROR(INDEX(_xlfn._xlws.FILTER(INDIRECT(M$1&amp;"!$E1:$E10000"),INDIRECT(M$1&amp;"!$a1:$a10000")=汇总!$A64),COUNTIF(INDIRECT(M$1&amp;"!$a1:$a10000"),汇总!$A64)),M63)</f>
        <v/>
      </c>
      <c r="N64" s="563">
        <f t="array" ref="N64">IFERROR(INDEX(_xlfn._xlws.FILTER(INDIRECT(N$1&amp;"!$E1:$E10000"),INDIRECT(N$1&amp;"!$a1:$a10000")=汇总!$A64),COUNTIF(INDIRECT(N$1&amp;"!$a1:$a10000"),汇总!$A64)),N63)</f>
        <v/>
      </c>
      <c r="O64" s="563">
        <f t="array" ref="O64">IFERROR(INDEX(_xlfn._xlws.FILTER(INDIRECT(O$1&amp;"!$E1:$E10000"),INDIRECT(O$1&amp;"!$a1:$a10000")=汇总!$A64),COUNTIF(INDIRECT(O$1&amp;"!$a1:$a10000"),汇总!$A64)),O63)</f>
        <v/>
      </c>
      <c r="P64" s="563">
        <f t="array" ref="P64">IFERROR(INDEX(_xlfn._xlws.FILTER(INDIRECT(P$1&amp;"!$E1:$E10000"),INDIRECT(P$1&amp;"!$a1:$a10000")=汇总!$A64),COUNTIF(INDIRECT(P$1&amp;"!$a1:$a10000"),汇总!$A64)),P63)</f>
        <v/>
      </c>
      <c r="Q64" s="563">
        <f t="array" ref="Q64">IFERROR(INDEX(_xlfn._xlws.FILTER(INDIRECT(Q$1&amp;"!$E1:$E10000"),INDIRECT(Q$1&amp;"!$a1:$a10000")=汇总!$A64),COUNTIF(INDIRECT(Q$1&amp;"!$a1:$a10000"),汇总!$A64)),Q63)</f>
        <v/>
      </c>
      <c r="R64" s="563">
        <f t="array" ref="R64">IFERROR(INDEX(_xlfn._xlws.FILTER(INDIRECT(R$1&amp;"!$E1:$E10000"),INDIRECT(R$1&amp;"!$a1:$a10000")=汇总!$A64),COUNTIF(INDIRECT(R$1&amp;"!$a1:$a10000"),汇总!$A64)),R63)</f>
        <v/>
      </c>
      <c r="S64" s="563">
        <f t="array" ref="S64">IFERROR(INDEX(_xlfn._xlws.FILTER(INDIRECT(S$1&amp;"!$E1:$E10000"),INDIRECT(S$1&amp;"!$a1:$a10000")=汇总!$A64),COUNTIF(INDIRECT(S$1&amp;"!$a1:$a10000"),汇总!$A64)),S63)</f>
        <v/>
      </c>
    </row>
    <row r="65" hidden="1" s="326">
      <c r="A65" s="1">
        <f>+A64+1</f>
        <v/>
      </c>
      <c r="B65" s="563">
        <f t="array" ref="B65">IFERROR(INDEX(_xlfn._xlws.FILTER(INDIRECT(B$1&amp;"!$E1:$E10000"),INDIRECT(B$1&amp;"!$a1:$a10000")=汇总!$A65),COUNTIF(INDIRECT(B$1&amp;"!$a1:$a10000"),汇总!$A65)),B64)</f>
        <v/>
      </c>
      <c r="C65" s="563">
        <f t="array" ref="C65">IFERROR(INDEX(_xlfn._xlws.FILTER(INDIRECT(C$1&amp;"!$E1:$E10000"),INDIRECT(C$1&amp;"!$a1:$a10000")=汇总!$A65),COUNTIF(INDIRECT(C$1&amp;"!$a1:$a10000"),汇总!$A65)),C64)</f>
        <v/>
      </c>
      <c r="D65" s="563">
        <f t="array" ref="D65">IFERROR(INDEX(_xlfn._xlws.FILTER(INDIRECT(D$1&amp;"!$E1:$E10000"),INDIRECT(D$1&amp;"!$a1:$a10000")=汇总!$A65),COUNTIF(INDIRECT(D$1&amp;"!$a1:$a10000"),汇总!$A65)),D64)</f>
        <v/>
      </c>
      <c r="E65" s="563">
        <f t="array" ref="E65">IFERROR(INDEX(_xlfn._xlws.FILTER(INDIRECT(E$1&amp;"!$E1:$E10000"),INDIRECT(E$1&amp;"!$a1:$a10000")=汇总!$A65),COUNTIF(INDIRECT(E$1&amp;"!$a1:$a10000"),汇总!$A65)),E64)</f>
        <v/>
      </c>
      <c r="F65" s="563">
        <f t="array" ref="F65">IFERROR(INDEX(_xlfn._xlws.FILTER(INDIRECT(F$1&amp;"!$E1:$E10000"),INDIRECT(F$1&amp;"!$a1:$a10000")=汇总!$A65),COUNTIF(INDIRECT(F$1&amp;"!$a1:$a10000"),汇总!$A65)),F64)</f>
        <v/>
      </c>
      <c r="G65" s="563">
        <f t="array" ref="G65">IFERROR(INDEX(_xlfn._xlws.FILTER(INDIRECT(G$1&amp;"!$E1:$E10000"),INDIRECT(G$1&amp;"!$a1:$a10000")=汇总!$A65),COUNTIF(INDIRECT(G$1&amp;"!$a1:$a10000"),汇总!$A65)),G64)</f>
        <v/>
      </c>
      <c r="H65" s="563">
        <f t="array" ref="H65">IFERROR(INDEX(_xlfn._xlws.FILTER(INDIRECT(H$1&amp;"!$E1:$E10000"),INDIRECT(H$1&amp;"!$a1:$a10000")=汇总!$A65),COUNTIF(INDIRECT(H$1&amp;"!$a1:$a10000"),汇总!$A65)),H64)</f>
        <v/>
      </c>
      <c r="I65" s="563">
        <f t="array" ref="I65">IFERROR(INDEX(_xlfn._xlws.FILTER(INDIRECT(I$1&amp;"!$E1:$E10000"),INDIRECT(I$1&amp;"!$a1:$a10000")=汇总!$A65),COUNTIF(INDIRECT(I$1&amp;"!$a1:$a10000"),汇总!$A65)),I64)</f>
        <v/>
      </c>
      <c r="J65" s="563">
        <f t="array" ref="J65">IFERROR(INDEX(_xlfn._xlws.FILTER(INDIRECT(J$1&amp;"!$E1:$E10000"),INDIRECT(J$1&amp;"!$a1:$a10000")=汇总!$A65),COUNTIF(INDIRECT(J$1&amp;"!$a1:$a10000"),汇总!$A65)),J64)</f>
        <v/>
      </c>
      <c r="K65" s="563">
        <f t="array" ref="K65">IFERROR(INDEX(_xlfn._xlws.FILTER(INDIRECT(K$1&amp;"!$E1:$E10000"),INDIRECT(K$1&amp;"!$a1:$a10000")=汇总!$A65),COUNTIF(INDIRECT(K$1&amp;"!$a1:$a10000"),汇总!$A65)),K64)</f>
        <v/>
      </c>
      <c r="L65" s="563">
        <f t="array" ref="L65">IFERROR(INDEX(_xlfn._xlws.FILTER(INDIRECT(L$1&amp;"!$E1:$E10000"),INDIRECT(L$1&amp;"!$a1:$a10000")=汇总!$A65),COUNTIF(INDIRECT(L$1&amp;"!$a1:$a10000"),汇总!$A65)),L64)</f>
        <v/>
      </c>
      <c r="M65" s="563">
        <f t="array" ref="M65">IFERROR(INDEX(_xlfn._xlws.FILTER(INDIRECT(M$1&amp;"!$E1:$E10000"),INDIRECT(M$1&amp;"!$a1:$a10000")=汇总!$A65),COUNTIF(INDIRECT(M$1&amp;"!$a1:$a10000"),汇总!$A65)),M64)</f>
        <v/>
      </c>
      <c r="N65" s="563">
        <f t="array" ref="N65">IFERROR(INDEX(_xlfn._xlws.FILTER(INDIRECT(N$1&amp;"!$E1:$E10000"),INDIRECT(N$1&amp;"!$a1:$a10000")=汇总!$A65),COUNTIF(INDIRECT(N$1&amp;"!$a1:$a10000"),汇总!$A65)),N64)</f>
        <v/>
      </c>
      <c r="O65" s="563">
        <f t="array" ref="O65">IFERROR(INDEX(_xlfn._xlws.FILTER(INDIRECT(O$1&amp;"!$E1:$E10000"),INDIRECT(O$1&amp;"!$a1:$a10000")=汇总!$A65),COUNTIF(INDIRECT(O$1&amp;"!$a1:$a10000"),汇总!$A65)),O64)</f>
        <v/>
      </c>
      <c r="P65" s="563">
        <f t="array" ref="P65">IFERROR(INDEX(_xlfn._xlws.FILTER(INDIRECT(P$1&amp;"!$E1:$E10000"),INDIRECT(P$1&amp;"!$a1:$a10000")=汇总!$A65),COUNTIF(INDIRECT(P$1&amp;"!$a1:$a10000"),汇总!$A65)),P64)</f>
        <v/>
      </c>
      <c r="Q65" s="563">
        <f t="array" ref="Q65">IFERROR(INDEX(_xlfn._xlws.FILTER(INDIRECT(Q$1&amp;"!$E1:$E10000"),INDIRECT(Q$1&amp;"!$a1:$a10000")=汇总!$A65),COUNTIF(INDIRECT(Q$1&amp;"!$a1:$a10000"),汇总!$A65)),Q64)</f>
        <v/>
      </c>
      <c r="R65" s="563">
        <f t="array" ref="R65">IFERROR(INDEX(_xlfn._xlws.FILTER(INDIRECT(R$1&amp;"!$E1:$E10000"),INDIRECT(R$1&amp;"!$a1:$a10000")=汇总!$A65),COUNTIF(INDIRECT(R$1&amp;"!$a1:$a10000"),汇总!$A65)),R64)</f>
        <v/>
      </c>
      <c r="S65" s="563">
        <f t="array" ref="S65">IFERROR(INDEX(_xlfn._xlws.FILTER(INDIRECT(S$1&amp;"!$E1:$E10000"),INDIRECT(S$1&amp;"!$a1:$a10000")=汇总!$A65),COUNTIF(INDIRECT(S$1&amp;"!$a1:$a10000"),汇总!$A65)),S64)</f>
        <v/>
      </c>
    </row>
    <row r="66" hidden="1" s="326">
      <c r="A66" s="1">
        <f>+A65+1</f>
        <v/>
      </c>
      <c r="B66" s="563">
        <f t="array" ref="B66">IFERROR(INDEX(_xlfn._xlws.FILTER(INDIRECT(B$1&amp;"!$E1:$E10000"),INDIRECT(B$1&amp;"!$a1:$a10000")=汇总!$A66),COUNTIF(INDIRECT(B$1&amp;"!$a1:$a10000"),汇总!$A66)),B65)</f>
        <v/>
      </c>
      <c r="C66" s="563">
        <f t="array" ref="C66">IFERROR(INDEX(_xlfn._xlws.FILTER(INDIRECT(C$1&amp;"!$E1:$E10000"),INDIRECT(C$1&amp;"!$a1:$a10000")=汇总!$A66),COUNTIF(INDIRECT(C$1&amp;"!$a1:$a10000"),汇总!$A66)),C65)</f>
        <v/>
      </c>
      <c r="D66" s="563">
        <f t="array" ref="D66">IFERROR(INDEX(_xlfn._xlws.FILTER(INDIRECT(D$1&amp;"!$E1:$E10000"),INDIRECT(D$1&amp;"!$a1:$a10000")=汇总!$A66),COUNTIF(INDIRECT(D$1&amp;"!$a1:$a10000"),汇总!$A66)),D65)</f>
        <v/>
      </c>
      <c r="E66" s="563">
        <f t="array" ref="E66">IFERROR(INDEX(_xlfn._xlws.FILTER(INDIRECT(E$1&amp;"!$E1:$E10000"),INDIRECT(E$1&amp;"!$a1:$a10000")=汇总!$A66),COUNTIF(INDIRECT(E$1&amp;"!$a1:$a10000"),汇总!$A66)),E65)</f>
        <v/>
      </c>
      <c r="F66" s="563">
        <f t="array" ref="F66">IFERROR(INDEX(_xlfn._xlws.FILTER(INDIRECT(F$1&amp;"!$E1:$E10000"),INDIRECT(F$1&amp;"!$a1:$a10000")=汇总!$A66),COUNTIF(INDIRECT(F$1&amp;"!$a1:$a10000"),汇总!$A66)),F65)</f>
        <v/>
      </c>
      <c r="G66" s="563">
        <f t="array" ref="G66">IFERROR(INDEX(_xlfn._xlws.FILTER(INDIRECT(G$1&amp;"!$E1:$E10000"),INDIRECT(G$1&amp;"!$a1:$a10000")=汇总!$A66),COUNTIF(INDIRECT(G$1&amp;"!$a1:$a10000"),汇总!$A66)),G65)</f>
        <v/>
      </c>
      <c r="H66" s="563">
        <f t="array" ref="H66">IFERROR(INDEX(_xlfn._xlws.FILTER(INDIRECT(H$1&amp;"!$E1:$E10000"),INDIRECT(H$1&amp;"!$a1:$a10000")=汇总!$A66),COUNTIF(INDIRECT(H$1&amp;"!$a1:$a10000"),汇总!$A66)),H65)</f>
        <v/>
      </c>
      <c r="I66" s="563">
        <f t="array" ref="I66">IFERROR(INDEX(_xlfn._xlws.FILTER(INDIRECT(I$1&amp;"!$E1:$E10000"),INDIRECT(I$1&amp;"!$a1:$a10000")=汇总!$A66),COUNTIF(INDIRECT(I$1&amp;"!$a1:$a10000"),汇总!$A66)),I65)</f>
        <v/>
      </c>
      <c r="J66" s="563">
        <f t="array" ref="J66">IFERROR(INDEX(_xlfn._xlws.FILTER(INDIRECT(J$1&amp;"!$E1:$E10000"),INDIRECT(J$1&amp;"!$a1:$a10000")=汇总!$A66),COUNTIF(INDIRECT(J$1&amp;"!$a1:$a10000"),汇总!$A66)),J65)</f>
        <v/>
      </c>
      <c r="K66" s="563">
        <f t="array" ref="K66">IFERROR(INDEX(_xlfn._xlws.FILTER(INDIRECT(K$1&amp;"!$E1:$E10000"),INDIRECT(K$1&amp;"!$a1:$a10000")=汇总!$A66),COUNTIF(INDIRECT(K$1&amp;"!$a1:$a10000"),汇总!$A66)),K65)</f>
        <v/>
      </c>
      <c r="L66" s="563">
        <f t="array" ref="L66">IFERROR(INDEX(_xlfn._xlws.FILTER(INDIRECT(L$1&amp;"!$E1:$E10000"),INDIRECT(L$1&amp;"!$a1:$a10000")=汇总!$A66),COUNTIF(INDIRECT(L$1&amp;"!$a1:$a10000"),汇总!$A66)),L65)</f>
        <v/>
      </c>
      <c r="M66" s="563">
        <f t="array" ref="M66">IFERROR(INDEX(_xlfn._xlws.FILTER(INDIRECT(M$1&amp;"!$E1:$E10000"),INDIRECT(M$1&amp;"!$a1:$a10000")=汇总!$A66),COUNTIF(INDIRECT(M$1&amp;"!$a1:$a10000"),汇总!$A66)),M65)</f>
        <v/>
      </c>
      <c r="N66" s="563">
        <f t="array" ref="N66">IFERROR(INDEX(_xlfn._xlws.FILTER(INDIRECT(N$1&amp;"!$E1:$E10000"),INDIRECT(N$1&amp;"!$a1:$a10000")=汇总!$A66),COUNTIF(INDIRECT(N$1&amp;"!$a1:$a10000"),汇总!$A66)),N65)</f>
        <v/>
      </c>
      <c r="O66" s="563">
        <f t="array" ref="O66">IFERROR(INDEX(_xlfn._xlws.FILTER(INDIRECT(O$1&amp;"!$E1:$E10000"),INDIRECT(O$1&amp;"!$a1:$a10000")=汇总!$A66),COUNTIF(INDIRECT(O$1&amp;"!$a1:$a10000"),汇总!$A66)),O65)</f>
        <v/>
      </c>
      <c r="P66" s="563">
        <f t="array" ref="P66">IFERROR(INDEX(_xlfn._xlws.FILTER(INDIRECT(P$1&amp;"!$E1:$E10000"),INDIRECT(P$1&amp;"!$a1:$a10000")=汇总!$A66),COUNTIF(INDIRECT(P$1&amp;"!$a1:$a10000"),汇总!$A66)),P65)</f>
        <v/>
      </c>
      <c r="Q66" s="563">
        <f t="array" ref="Q66">IFERROR(INDEX(_xlfn._xlws.FILTER(INDIRECT(Q$1&amp;"!$E1:$E10000"),INDIRECT(Q$1&amp;"!$a1:$a10000")=汇总!$A66),COUNTIF(INDIRECT(Q$1&amp;"!$a1:$a10000"),汇总!$A66)),Q65)</f>
        <v/>
      </c>
      <c r="R66" s="563">
        <f t="array" ref="R66">IFERROR(INDEX(_xlfn._xlws.FILTER(INDIRECT(R$1&amp;"!$E1:$E10000"),INDIRECT(R$1&amp;"!$a1:$a10000")=汇总!$A66),COUNTIF(INDIRECT(R$1&amp;"!$a1:$a10000"),汇总!$A66)),R65)</f>
        <v/>
      </c>
      <c r="S66" s="563">
        <f t="array" ref="S66">IFERROR(INDEX(_xlfn._xlws.FILTER(INDIRECT(S$1&amp;"!$E1:$E10000"),INDIRECT(S$1&amp;"!$a1:$a10000")=汇总!$A66),COUNTIF(INDIRECT(S$1&amp;"!$a1:$a10000"),汇总!$A66)),S65)</f>
        <v/>
      </c>
    </row>
    <row r="67" hidden="1" s="326">
      <c r="A67" s="1">
        <f>+A66+1</f>
        <v/>
      </c>
      <c r="B67" s="563">
        <f t="array" ref="B67">IFERROR(INDEX(_xlfn._xlws.FILTER(INDIRECT(B$1&amp;"!$E1:$E10000"),INDIRECT(B$1&amp;"!$a1:$a10000")=汇总!$A67),COUNTIF(INDIRECT(B$1&amp;"!$a1:$a10000"),汇总!$A67)),B66)</f>
        <v/>
      </c>
      <c r="C67" s="563">
        <f t="array" ref="C67">IFERROR(INDEX(_xlfn._xlws.FILTER(INDIRECT(C$1&amp;"!$E1:$E10000"),INDIRECT(C$1&amp;"!$a1:$a10000")=汇总!$A67),COUNTIF(INDIRECT(C$1&amp;"!$a1:$a10000"),汇总!$A67)),C66)</f>
        <v/>
      </c>
      <c r="D67" s="563">
        <f t="array" ref="D67">IFERROR(INDEX(_xlfn._xlws.FILTER(INDIRECT(D$1&amp;"!$E1:$E10000"),INDIRECT(D$1&amp;"!$a1:$a10000")=汇总!$A67),COUNTIF(INDIRECT(D$1&amp;"!$a1:$a10000"),汇总!$A67)),D66)</f>
        <v/>
      </c>
      <c r="E67" s="563">
        <f t="array" ref="E67">IFERROR(INDEX(_xlfn._xlws.FILTER(INDIRECT(E$1&amp;"!$E1:$E10000"),INDIRECT(E$1&amp;"!$a1:$a10000")=汇总!$A67),COUNTIF(INDIRECT(E$1&amp;"!$a1:$a10000"),汇总!$A67)),E66)</f>
        <v/>
      </c>
      <c r="F67" s="563">
        <f t="array" ref="F67">IFERROR(INDEX(_xlfn._xlws.FILTER(INDIRECT(F$1&amp;"!$E1:$E10000"),INDIRECT(F$1&amp;"!$a1:$a10000")=汇总!$A67),COUNTIF(INDIRECT(F$1&amp;"!$a1:$a10000"),汇总!$A67)),F66)</f>
        <v/>
      </c>
      <c r="G67" s="563">
        <f t="array" ref="G67">IFERROR(INDEX(_xlfn._xlws.FILTER(INDIRECT(G$1&amp;"!$E1:$E10000"),INDIRECT(G$1&amp;"!$a1:$a10000")=汇总!$A67),COUNTIF(INDIRECT(G$1&amp;"!$a1:$a10000"),汇总!$A67)),G66)</f>
        <v/>
      </c>
      <c r="H67" s="563">
        <f t="array" ref="H67">IFERROR(INDEX(_xlfn._xlws.FILTER(INDIRECT(H$1&amp;"!$E1:$E10000"),INDIRECT(H$1&amp;"!$a1:$a10000")=汇总!$A67),COUNTIF(INDIRECT(H$1&amp;"!$a1:$a10000"),汇总!$A67)),H66)</f>
        <v/>
      </c>
      <c r="I67" s="563">
        <f t="array" ref="I67">IFERROR(INDEX(_xlfn._xlws.FILTER(INDIRECT(I$1&amp;"!$E1:$E10000"),INDIRECT(I$1&amp;"!$a1:$a10000")=汇总!$A67),COUNTIF(INDIRECT(I$1&amp;"!$a1:$a10000"),汇总!$A67)),I66)</f>
        <v/>
      </c>
      <c r="J67" s="563">
        <f t="array" ref="J67">IFERROR(INDEX(_xlfn._xlws.FILTER(INDIRECT(J$1&amp;"!$E1:$E10000"),INDIRECT(J$1&amp;"!$a1:$a10000")=汇总!$A67),COUNTIF(INDIRECT(J$1&amp;"!$a1:$a10000"),汇总!$A67)),J66)</f>
        <v/>
      </c>
      <c r="K67" s="563">
        <f t="array" ref="K67">IFERROR(INDEX(_xlfn._xlws.FILTER(INDIRECT(K$1&amp;"!$E1:$E10000"),INDIRECT(K$1&amp;"!$a1:$a10000")=汇总!$A67),COUNTIF(INDIRECT(K$1&amp;"!$a1:$a10000"),汇总!$A67)),K66)</f>
        <v/>
      </c>
      <c r="L67" s="563">
        <f t="array" ref="L67">IFERROR(INDEX(_xlfn._xlws.FILTER(INDIRECT(L$1&amp;"!$E1:$E10000"),INDIRECT(L$1&amp;"!$a1:$a10000")=汇总!$A67),COUNTIF(INDIRECT(L$1&amp;"!$a1:$a10000"),汇总!$A67)),L66)</f>
        <v/>
      </c>
      <c r="M67" s="563">
        <f t="array" ref="M67">IFERROR(INDEX(_xlfn._xlws.FILTER(INDIRECT(M$1&amp;"!$E1:$E10000"),INDIRECT(M$1&amp;"!$a1:$a10000")=汇总!$A67),COUNTIF(INDIRECT(M$1&amp;"!$a1:$a10000"),汇总!$A67)),M66)</f>
        <v/>
      </c>
      <c r="N67" s="563">
        <f t="array" ref="N67">IFERROR(INDEX(_xlfn._xlws.FILTER(INDIRECT(N$1&amp;"!$E1:$E10000"),INDIRECT(N$1&amp;"!$a1:$a10000")=汇总!$A67),COUNTIF(INDIRECT(N$1&amp;"!$a1:$a10000"),汇总!$A67)),N66)</f>
        <v/>
      </c>
      <c r="O67" s="563">
        <f t="array" ref="O67">IFERROR(INDEX(_xlfn._xlws.FILTER(INDIRECT(O$1&amp;"!$E1:$E10000"),INDIRECT(O$1&amp;"!$a1:$a10000")=汇总!$A67),COUNTIF(INDIRECT(O$1&amp;"!$a1:$a10000"),汇总!$A67)),O66)</f>
        <v/>
      </c>
      <c r="P67" s="563">
        <f t="array" ref="P67">IFERROR(INDEX(_xlfn._xlws.FILTER(INDIRECT(P$1&amp;"!$E1:$E10000"),INDIRECT(P$1&amp;"!$a1:$a10000")=汇总!$A67),COUNTIF(INDIRECT(P$1&amp;"!$a1:$a10000"),汇总!$A67)),P66)</f>
        <v/>
      </c>
      <c r="Q67" s="563">
        <f t="array" ref="Q67">IFERROR(INDEX(_xlfn._xlws.FILTER(INDIRECT(Q$1&amp;"!$E1:$E10000"),INDIRECT(Q$1&amp;"!$a1:$a10000")=汇总!$A67),COUNTIF(INDIRECT(Q$1&amp;"!$a1:$a10000"),汇总!$A67)),Q66)</f>
        <v/>
      </c>
      <c r="R67" s="563">
        <f t="array" ref="R67">IFERROR(INDEX(_xlfn._xlws.FILTER(INDIRECT(R$1&amp;"!$E1:$E10000"),INDIRECT(R$1&amp;"!$a1:$a10000")=汇总!$A67),COUNTIF(INDIRECT(R$1&amp;"!$a1:$a10000"),汇总!$A67)),R66)</f>
        <v/>
      </c>
      <c r="S67" s="563">
        <f t="array" ref="S67">IFERROR(INDEX(_xlfn._xlws.FILTER(INDIRECT(S$1&amp;"!$E1:$E10000"),INDIRECT(S$1&amp;"!$a1:$a10000")=汇总!$A67),COUNTIF(INDIRECT(S$1&amp;"!$a1:$a10000"),汇总!$A67)),S66)</f>
        <v/>
      </c>
    </row>
    <row r="68" hidden="1" s="326">
      <c r="A68" s="1">
        <f>+A67+1</f>
        <v/>
      </c>
      <c r="B68" s="563">
        <f t="array" ref="B68">IFERROR(INDEX(_xlfn._xlws.FILTER(INDIRECT(B$1&amp;"!$E1:$E10000"),INDIRECT(B$1&amp;"!$a1:$a10000")=汇总!$A68),COUNTIF(INDIRECT(B$1&amp;"!$a1:$a10000"),汇总!$A68)),B67)</f>
        <v/>
      </c>
      <c r="C68" s="563">
        <f t="array" ref="C68">IFERROR(INDEX(_xlfn._xlws.FILTER(INDIRECT(C$1&amp;"!$E1:$E10000"),INDIRECT(C$1&amp;"!$a1:$a10000")=汇总!$A68),COUNTIF(INDIRECT(C$1&amp;"!$a1:$a10000"),汇总!$A68)),C67)</f>
        <v/>
      </c>
      <c r="D68" s="563">
        <f t="array" ref="D68">IFERROR(INDEX(_xlfn._xlws.FILTER(INDIRECT(D$1&amp;"!$E1:$E10000"),INDIRECT(D$1&amp;"!$a1:$a10000")=汇总!$A68),COUNTIF(INDIRECT(D$1&amp;"!$a1:$a10000"),汇总!$A68)),D67)</f>
        <v/>
      </c>
      <c r="E68" s="563">
        <f t="array" ref="E68">IFERROR(INDEX(_xlfn._xlws.FILTER(INDIRECT(E$1&amp;"!$E1:$E10000"),INDIRECT(E$1&amp;"!$a1:$a10000")=汇总!$A68),COUNTIF(INDIRECT(E$1&amp;"!$a1:$a10000"),汇总!$A68)),E67)</f>
        <v/>
      </c>
      <c r="F68" s="563">
        <f t="array" ref="F68">IFERROR(INDEX(_xlfn._xlws.FILTER(INDIRECT(F$1&amp;"!$E1:$E10000"),INDIRECT(F$1&amp;"!$a1:$a10000")=汇总!$A68),COUNTIF(INDIRECT(F$1&amp;"!$a1:$a10000"),汇总!$A68)),F67)</f>
        <v/>
      </c>
      <c r="G68" s="563">
        <f t="array" ref="G68">IFERROR(INDEX(_xlfn._xlws.FILTER(INDIRECT(G$1&amp;"!$E1:$E10000"),INDIRECT(G$1&amp;"!$a1:$a10000")=汇总!$A68),COUNTIF(INDIRECT(G$1&amp;"!$a1:$a10000"),汇总!$A68)),G67)</f>
        <v/>
      </c>
      <c r="H68" s="563">
        <f t="array" ref="H68">IFERROR(INDEX(_xlfn._xlws.FILTER(INDIRECT(H$1&amp;"!$E1:$E10000"),INDIRECT(H$1&amp;"!$a1:$a10000")=汇总!$A68),COUNTIF(INDIRECT(H$1&amp;"!$a1:$a10000"),汇总!$A68)),H67)</f>
        <v/>
      </c>
      <c r="I68" s="563">
        <f t="array" ref="I68">IFERROR(INDEX(_xlfn._xlws.FILTER(INDIRECT(I$1&amp;"!$E1:$E10000"),INDIRECT(I$1&amp;"!$a1:$a10000")=汇总!$A68),COUNTIF(INDIRECT(I$1&amp;"!$a1:$a10000"),汇总!$A68)),I67)</f>
        <v/>
      </c>
      <c r="J68" s="563">
        <f t="array" ref="J68">IFERROR(INDEX(_xlfn._xlws.FILTER(INDIRECT(J$1&amp;"!$E1:$E10000"),INDIRECT(J$1&amp;"!$a1:$a10000")=汇总!$A68),COUNTIF(INDIRECT(J$1&amp;"!$a1:$a10000"),汇总!$A68)),J67)</f>
        <v/>
      </c>
      <c r="K68" s="563">
        <f t="array" ref="K68">IFERROR(INDEX(_xlfn._xlws.FILTER(INDIRECT(K$1&amp;"!$E1:$E10000"),INDIRECT(K$1&amp;"!$a1:$a10000")=汇总!$A68),COUNTIF(INDIRECT(K$1&amp;"!$a1:$a10000"),汇总!$A68)),K67)</f>
        <v/>
      </c>
      <c r="L68" s="563">
        <f t="array" ref="L68">IFERROR(INDEX(_xlfn._xlws.FILTER(INDIRECT(L$1&amp;"!$E1:$E10000"),INDIRECT(L$1&amp;"!$a1:$a10000")=汇总!$A68),COUNTIF(INDIRECT(L$1&amp;"!$a1:$a10000"),汇总!$A68)),L67)</f>
        <v/>
      </c>
      <c r="M68" s="563">
        <f t="array" ref="M68">IFERROR(INDEX(_xlfn._xlws.FILTER(INDIRECT(M$1&amp;"!$E1:$E10000"),INDIRECT(M$1&amp;"!$a1:$a10000")=汇总!$A68),COUNTIF(INDIRECT(M$1&amp;"!$a1:$a10000"),汇总!$A68)),M67)</f>
        <v/>
      </c>
      <c r="N68" s="563">
        <f t="array" ref="N68">IFERROR(INDEX(_xlfn._xlws.FILTER(INDIRECT(N$1&amp;"!$E1:$E10000"),INDIRECT(N$1&amp;"!$a1:$a10000")=汇总!$A68),COUNTIF(INDIRECT(N$1&amp;"!$a1:$a10000"),汇总!$A68)),N67)</f>
        <v/>
      </c>
      <c r="O68" s="563">
        <f t="array" ref="O68">IFERROR(INDEX(_xlfn._xlws.FILTER(INDIRECT(O$1&amp;"!$E1:$E10000"),INDIRECT(O$1&amp;"!$a1:$a10000")=汇总!$A68),COUNTIF(INDIRECT(O$1&amp;"!$a1:$a10000"),汇总!$A68)),O67)</f>
        <v/>
      </c>
      <c r="P68" s="563">
        <f t="array" ref="P68">IFERROR(INDEX(_xlfn._xlws.FILTER(INDIRECT(P$1&amp;"!$E1:$E10000"),INDIRECT(P$1&amp;"!$a1:$a10000")=汇总!$A68),COUNTIF(INDIRECT(P$1&amp;"!$a1:$a10000"),汇总!$A68)),P67)</f>
        <v/>
      </c>
      <c r="Q68" s="563">
        <f t="array" ref="Q68">IFERROR(INDEX(_xlfn._xlws.FILTER(INDIRECT(Q$1&amp;"!$E1:$E10000"),INDIRECT(Q$1&amp;"!$a1:$a10000")=汇总!$A68),COUNTIF(INDIRECT(Q$1&amp;"!$a1:$a10000"),汇总!$A68)),Q67)</f>
        <v/>
      </c>
      <c r="R68" s="563">
        <f t="array" ref="R68">IFERROR(INDEX(_xlfn._xlws.FILTER(INDIRECT(R$1&amp;"!$E1:$E10000"),INDIRECT(R$1&amp;"!$a1:$a10000")=汇总!$A68),COUNTIF(INDIRECT(R$1&amp;"!$a1:$a10000"),汇总!$A68)),R67)</f>
        <v/>
      </c>
      <c r="S68" s="563">
        <f t="array" ref="S68">IFERROR(INDEX(_xlfn._xlws.FILTER(INDIRECT(S$1&amp;"!$E1:$E10000"),INDIRECT(S$1&amp;"!$a1:$a10000")=汇总!$A68),COUNTIF(INDIRECT(S$1&amp;"!$a1:$a10000"),汇总!$A68)),S67)</f>
        <v/>
      </c>
    </row>
    <row r="69" hidden="1" s="326">
      <c r="A69" s="1">
        <f>+A68+1</f>
        <v/>
      </c>
      <c r="B69" s="563">
        <f t="array" ref="B69">IFERROR(INDEX(_xlfn._xlws.FILTER(INDIRECT(B$1&amp;"!$E1:$E10000"),INDIRECT(B$1&amp;"!$a1:$a10000")=汇总!$A69),COUNTIF(INDIRECT(B$1&amp;"!$a1:$a10000"),汇总!$A69)),B68)</f>
        <v/>
      </c>
      <c r="C69" s="563">
        <f t="array" ref="C69">IFERROR(INDEX(_xlfn._xlws.FILTER(INDIRECT(C$1&amp;"!$E1:$E10000"),INDIRECT(C$1&amp;"!$a1:$a10000")=汇总!$A69),COUNTIF(INDIRECT(C$1&amp;"!$a1:$a10000"),汇总!$A69)),C68)</f>
        <v/>
      </c>
      <c r="D69" s="563">
        <f t="array" ref="D69">IFERROR(INDEX(_xlfn._xlws.FILTER(INDIRECT(D$1&amp;"!$E1:$E10000"),INDIRECT(D$1&amp;"!$a1:$a10000")=汇总!$A69),COUNTIF(INDIRECT(D$1&amp;"!$a1:$a10000"),汇总!$A69)),D68)</f>
        <v/>
      </c>
      <c r="E69" s="563">
        <f t="array" ref="E69">IFERROR(INDEX(_xlfn._xlws.FILTER(INDIRECT(E$1&amp;"!$E1:$E10000"),INDIRECT(E$1&amp;"!$a1:$a10000")=汇总!$A69),COUNTIF(INDIRECT(E$1&amp;"!$a1:$a10000"),汇总!$A69)),E68)</f>
        <v/>
      </c>
      <c r="F69" s="563">
        <f t="array" ref="F69">IFERROR(INDEX(_xlfn._xlws.FILTER(INDIRECT(F$1&amp;"!$E1:$E10000"),INDIRECT(F$1&amp;"!$a1:$a10000")=汇总!$A69),COUNTIF(INDIRECT(F$1&amp;"!$a1:$a10000"),汇总!$A69)),F68)</f>
        <v/>
      </c>
      <c r="G69" s="563">
        <f t="array" ref="G69">IFERROR(INDEX(_xlfn._xlws.FILTER(INDIRECT(G$1&amp;"!$E1:$E10000"),INDIRECT(G$1&amp;"!$a1:$a10000")=汇总!$A69),COUNTIF(INDIRECT(G$1&amp;"!$a1:$a10000"),汇总!$A69)),G68)</f>
        <v/>
      </c>
      <c r="H69" s="563">
        <f t="array" ref="H69">IFERROR(INDEX(_xlfn._xlws.FILTER(INDIRECT(H$1&amp;"!$E1:$E10000"),INDIRECT(H$1&amp;"!$a1:$a10000")=汇总!$A69),COUNTIF(INDIRECT(H$1&amp;"!$a1:$a10000"),汇总!$A69)),H68)</f>
        <v/>
      </c>
      <c r="I69" s="563">
        <f t="array" ref="I69">IFERROR(INDEX(_xlfn._xlws.FILTER(INDIRECT(I$1&amp;"!$E1:$E10000"),INDIRECT(I$1&amp;"!$a1:$a10000")=汇总!$A69),COUNTIF(INDIRECT(I$1&amp;"!$a1:$a10000"),汇总!$A69)),I68)</f>
        <v/>
      </c>
      <c r="J69" s="563">
        <f t="array" ref="J69">IFERROR(INDEX(_xlfn._xlws.FILTER(INDIRECT(J$1&amp;"!$E1:$E10000"),INDIRECT(J$1&amp;"!$a1:$a10000")=汇总!$A69),COUNTIF(INDIRECT(J$1&amp;"!$a1:$a10000"),汇总!$A69)),J68)</f>
        <v/>
      </c>
      <c r="K69" s="563">
        <f t="array" ref="K69">IFERROR(INDEX(_xlfn._xlws.FILTER(INDIRECT(K$1&amp;"!$E1:$E10000"),INDIRECT(K$1&amp;"!$a1:$a10000")=汇总!$A69),COUNTIF(INDIRECT(K$1&amp;"!$a1:$a10000"),汇总!$A69)),K68)</f>
        <v/>
      </c>
      <c r="L69" s="563">
        <f t="array" ref="L69">IFERROR(INDEX(_xlfn._xlws.FILTER(INDIRECT(L$1&amp;"!$E1:$E10000"),INDIRECT(L$1&amp;"!$a1:$a10000")=汇总!$A69),COUNTIF(INDIRECT(L$1&amp;"!$a1:$a10000"),汇总!$A69)),L68)</f>
        <v/>
      </c>
      <c r="M69" s="563">
        <f t="array" ref="M69">IFERROR(INDEX(_xlfn._xlws.FILTER(INDIRECT(M$1&amp;"!$E1:$E10000"),INDIRECT(M$1&amp;"!$a1:$a10000")=汇总!$A69),COUNTIF(INDIRECT(M$1&amp;"!$a1:$a10000"),汇总!$A69)),M68)</f>
        <v/>
      </c>
      <c r="N69" s="563">
        <f t="array" ref="N69">IFERROR(INDEX(_xlfn._xlws.FILTER(INDIRECT(N$1&amp;"!$E1:$E10000"),INDIRECT(N$1&amp;"!$a1:$a10000")=汇总!$A69),COUNTIF(INDIRECT(N$1&amp;"!$a1:$a10000"),汇总!$A69)),N68)</f>
        <v/>
      </c>
      <c r="O69" s="563">
        <f t="array" ref="O69">IFERROR(INDEX(_xlfn._xlws.FILTER(INDIRECT(O$1&amp;"!$E1:$E10000"),INDIRECT(O$1&amp;"!$a1:$a10000")=汇总!$A69),COUNTIF(INDIRECT(O$1&amp;"!$a1:$a10000"),汇总!$A69)),O68)</f>
        <v/>
      </c>
      <c r="P69" s="563">
        <f t="array" ref="P69">IFERROR(INDEX(_xlfn._xlws.FILTER(INDIRECT(P$1&amp;"!$E1:$E10000"),INDIRECT(P$1&amp;"!$a1:$a10000")=汇总!$A69),COUNTIF(INDIRECT(P$1&amp;"!$a1:$a10000"),汇总!$A69)),P68)</f>
        <v/>
      </c>
      <c r="Q69" s="563">
        <f t="array" ref="Q69">IFERROR(INDEX(_xlfn._xlws.FILTER(INDIRECT(Q$1&amp;"!$E1:$E10000"),INDIRECT(Q$1&amp;"!$a1:$a10000")=汇总!$A69),COUNTIF(INDIRECT(Q$1&amp;"!$a1:$a10000"),汇总!$A69)),Q68)</f>
        <v/>
      </c>
      <c r="R69" s="563">
        <f t="array" ref="R69">IFERROR(INDEX(_xlfn._xlws.FILTER(INDIRECT(R$1&amp;"!$E1:$E10000"),INDIRECT(R$1&amp;"!$a1:$a10000")=汇总!$A69),COUNTIF(INDIRECT(R$1&amp;"!$a1:$a10000"),汇总!$A69)),R68)</f>
        <v/>
      </c>
      <c r="S69" s="563">
        <f t="array" ref="S69">IFERROR(INDEX(_xlfn._xlws.FILTER(INDIRECT(S$1&amp;"!$E1:$E10000"),INDIRECT(S$1&amp;"!$a1:$a10000")=汇总!$A69),COUNTIF(INDIRECT(S$1&amp;"!$a1:$a10000"),汇总!$A69)),S68)</f>
        <v/>
      </c>
    </row>
    <row r="70" hidden="1" s="326">
      <c r="A70" s="1">
        <f>+A69+1</f>
        <v/>
      </c>
      <c r="B70" s="563">
        <f t="array" ref="B70">IFERROR(INDEX(_xlfn._xlws.FILTER(INDIRECT(B$1&amp;"!$E1:$E10000"),INDIRECT(B$1&amp;"!$a1:$a10000")=汇总!$A70),COUNTIF(INDIRECT(B$1&amp;"!$a1:$a10000"),汇总!$A70)),B69)</f>
        <v/>
      </c>
      <c r="C70" s="563">
        <f t="array" ref="C70">IFERROR(INDEX(_xlfn._xlws.FILTER(INDIRECT(C$1&amp;"!$E1:$E10000"),INDIRECT(C$1&amp;"!$a1:$a10000")=汇总!$A70),COUNTIF(INDIRECT(C$1&amp;"!$a1:$a10000"),汇总!$A70)),C69)</f>
        <v/>
      </c>
      <c r="D70" s="563">
        <f t="array" ref="D70">IFERROR(INDEX(_xlfn._xlws.FILTER(INDIRECT(D$1&amp;"!$E1:$E10000"),INDIRECT(D$1&amp;"!$a1:$a10000")=汇总!$A70),COUNTIF(INDIRECT(D$1&amp;"!$a1:$a10000"),汇总!$A70)),D69)</f>
        <v/>
      </c>
      <c r="E70" s="563">
        <f t="array" ref="E70">IFERROR(INDEX(_xlfn._xlws.FILTER(INDIRECT(E$1&amp;"!$E1:$E10000"),INDIRECT(E$1&amp;"!$a1:$a10000")=汇总!$A70),COUNTIF(INDIRECT(E$1&amp;"!$a1:$a10000"),汇总!$A70)),E69)</f>
        <v/>
      </c>
      <c r="F70" s="563">
        <f t="array" ref="F70">IFERROR(INDEX(_xlfn._xlws.FILTER(INDIRECT(F$1&amp;"!$E1:$E10000"),INDIRECT(F$1&amp;"!$a1:$a10000")=汇总!$A70),COUNTIF(INDIRECT(F$1&amp;"!$a1:$a10000"),汇总!$A70)),F69)</f>
        <v/>
      </c>
      <c r="G70" s="563">
        <f t="array" ref="G70">IFERROR(INDEX(_xlfn._xlws.FILTER(INDIRECT(G$1&amp;"!$E1:$E10000"),INDIRECT(G$1&amp;"!$a1:$a10000")=汇总!$A70),COUNTIF(INDIRECT(G$1&amp;"!$a1:$a10000"),汇总!$A70)),G69)</f>
        <v/>
      </c>
      <c r="H70" s="563">
        <f t="array" ref="H70">IFERROR(INDEX(_xlfn._xlws.FILTER(INDIRECT(H$1&amp;"!$E1:$E10000"),INDIRECT(H$1&amp;"!$a1:$a10000")=汇总!$A70),COUNTIF(INDIRECT(H$1&amp;"!$a1:$a10000"),汇总!$A70)),H69)</f>
        <v/>
      </c>
      <c r="I70" s="563">
        <f t="array" ref="I70">IFERROR(INDEX(_xlfn._xlws.FILTER(INDIRECT(I$1&amp;"!$E1:$E10000"),INDIRECT(I$1&amp;"!$a1:$a10000")=汇总!$A70),COUNTIF(INDIRECT(I$1&amp;"!$a1:$a10000"),汇总!$A70)),I69)</f>
        <v/>
      </c>
      <c r="J70" s="563">
        <f t="array" ref="J70">IFERROR(INDEX(_xlfn._xlws.FILTER(INDIRECT(J$1&amp;"!$E1:$E10000"),INDIRECT(J$1&amp;"!$a1:$a10000")=汇总!$A70),COUNTIF(INDIRECT(J$1&amp;"!$a1:$a10000"),汇总!$A70)),J69)</f>
        <v/>
      </c>
      <c r="K70" s="563">
        <f t="array" ref="K70">IFERROR(INDEX(_xlfn._xlws.FILTER(INDIRECT(K$1&amp;"!$E1:$E10000"),INDIRECT(K$1&amp;"!$a1:$a10000")=汇总!$A70),COUNTIF(INDIRECT(K$1&amp;"!$a1:$a10000"),汇总!$A70)),K69)</f>
        <v/>
      </c>
      <c r="L70" s="563">
        <f t="array" ref="L70">IFERROR(INDEX(_xlfn._xlws.FILTER(INDIRECT(L$1&amp;"!$E1:$E10000"),INDIRECT(L$1&amp;"!$a1:$a10000")=汇总!$A70),COUNTIF(INDIRECT(L$1&amp;"!$a1:$a10000"),汇总!$A70)),L69)</f>
        <v/>
      </c>
      <c r="M70" s="563">
        <f t="array" ref="M70">IFERROR(INDEX(_xlfn._xlws.FILTER(INDIRECT(M$1&amp;"!$E1:$E10000"),INDIRECT(M$1&amp;"!$a1:$a10000")=汇总!$A70),COUNTIF(INDIRECT(M$1&amp;"!$a1:$a10000"),汇总!$A70)),M69)</f>
        <v/>
      </c>
      <c r="N70" s="563">
        <f t="array" ref="N70">IFERROR(INDEX(_xlfn._xlws.FILTER(INDIRECT(N$1&amp;"!$E1:$E10000"),INDIRECT(N$1&amp;"!$a1:$a10000")=汇总!$A70),COUNTIF(INDIRECT(N$1&amp;"!$a1:$a10000"),汇总!$A70)),N69)</f>
        <v/>
      </c>
      <c r="O70" s="563">
        <f t="array" ref="O70">IFERROR(INDEX(_xlfn._xlws.FILTER(INDIRECT(O$1&amp;"!$E1:$E10000"),INDIRECT(O$1&amp;"!$a1:$a10000")=汇总!$A70),COUNTIF(INDIRECT(O$1&amp;"!$a1:$a10000"),汇总!$A70)),O69)</f>
        <v/>
      </c>
      <c r="P70" s="563">
        <f t="array" ref="P70">IFERROR(INDEX(_xlfn._xlws.FILTER(INDIRECT(P$1&amp;"!$E1:$E10000"),INDIRECT(P$1&amp;"!$a1:$a10000")=汇总!$A70),COUNTIF(INDIRECT(P$1&amp;"!$a1:$a10000"),汇总!$A70)),P69)</f>
        <v/>
      </c>
      <c r="Q70" s="563">
        <f t="array" ref="Q70">IFERROR(INDEX(_xlfn._xlws.FILTER(INDIRECT(Q$1&amp;"!$E1:$E10000"),INDIRECT(Q$1&amp;"!$a1:$a10000")=汇总!$A70),COUNTIF(INDIRECT(Q$1&amp;"!$a1:$a10000"),汇总!$A70)),Q69)</f>
        <v/>
      </c>
      <c r="R70" s="563">
        <f t="array" ref="R70">IFERROR(INDEX(_xlfn._xlws.FILTER(INDIRECT(R$1&amp;"!$E1:$E10000"),INDIRECT(R$1&amp;"!$a1:$a10000")=汇总!$A70),COUNTIF(INDIRECT(R$1&amp;"!$a1:$a10000"),汇总!$A70)),R69)</f>
        <v/>
      </c>
      <c r="S70" s="563">
        <f t="array" ref="S70">IFERROR(INDEX(_xlfn._xlws.FILTER(INDIRECT(S$1&amp;"!$E1:$E10000"),INDIRECT(S$1&amp;"!$a1:$a10000")=汇总!$A70),COUNTIF(INDIRECT(S$1&amp;"!$a1:$a10000"),汇总!$A70)),S69)</f>
        <v/>
      </c>
    </row>
    <row r="71" hidden="1" s="326">
      <c r="A71" s="1">
        <f>+A70+1</f>
        <v/>
      </c>
      <c r="B71" s="563">
        <f t="array" ref="B71">IFERROR(INDEX(_xlfn._xlws.FILTER(INDIRECT(B$1&amp;"!$E1:$E10000"),INDIRECT(B$1&amp;"!$a1:$a10000")=汇总!$A71),COUNTIF(INDIRECT(B$1&amp;"!$a1:$a10000"),汇总!$A71)),B70)</f>
        <v/>
      </c>
      <c r="C71" s="563">
        <f t="array" ref="C71">IFERROR(INDEX(_xlfn._xlws.FILTER(INDIRECT(C$1&amp;"!$E1:$E10000"),INDIRECT(C$1&amp;"!$a1:$a10000")=汇总!$A71),COUNTIF(INDIRECT(C$1&amp;"!$a1:$a10000"),汇总!$A71)),C70)</f>
        <v/>
      </c>
      <c r="D71" s="563">
        <f t="array" ref="D71">IFERROR(INDEX(_xlfn._xlws.FILTER(INDIRECT(D$1&amp;"!$E1:$E10000"),INDIRECT(D$1&amp;"!$a1:$a10000")=汇总!$A71),COUNTIF(INDIRECT(D$1&amp;"!$a1:$a10000"),汇总!$A71)),D70)</f>
        <v/>
      </c>
      <c r="E71" s="563">
        <f t="array" ref="E71">IFERROR(INDEX(_xlfn._xlws.FILTER(INDIRECT(E$1&amp;"!$E1:$E10000"),INDIRECT(E$1&amp;"!$a1:$a10000")=汇总!$A71),COUNTIF(INDIRECT(E$1&amp;"!$a1:$a10000"),汇总!$A71)),E70)</f>
        <v/>
      </c>
      <c r="F71" s="563">
        <f t="array" ref="F71">IFERROR(INDEX(_xlfn._xlws.FILTER(INDIRECT(F$1&amp;"!$E1:$E10000"),INDIRECT(F$1&amp;"!$a1:$a10000")=汇总!$A71),COUNTIF(INDIRECT(F$1&amp;"!$a1:$a10000"),汇总!$A71)),F70)</f>
        <v/>
      </c>
      <c r="G71" s="563">
        <f t="array" ref="G71">IFERROR(INDEX(_xlfn._xlws.FILTER(INDIRECT(G$1&amp;"!$E1:$E10000"),INDIRECT(G$1&amp;"!$a1:$a10000")=汇总!$A71),COUNTIF(INDIRECT(G$1&amp;"!$a1:$a10000"),汇总!$A71)),G70)</f>
        <v/>
      </c>
      <c r="H71" s="563">
        <f t="array" ref="H71">IFERROR(INDEX(_xlfn._xlws.FILTER(INDIRECT(H$1&amp;"!$E1:$E10000"),INDIRECT(H$1&amp;"!$a1:$a10000")=汇总!$A71),COUNTIF(INDIRECT(H$1&amp;"!$a1:$a10000"),汇总!$A71)),H70)</f>
        <v/>
      </c>
      <c r="I71" s="563">
        <f t="array" ref="I71">IFERROR(INDEX(_xlfn._xlws.FILTER(INDIRECT(I$1&amp;"!$E1:$E10000"),INDIRECT(I$1&amp;"!$a1:$a10000")=汇总!$A71),COUNTIF(INDIRECT(I$1&amp;"!$a1:$a10000"),汇总!$A71)),I70)</f>
        <v/>
      </c>
      <c r="J71" s="563">
        <f t="array" ref="J71">IFERROR(INDEX(_xlfn._xlws.FILTER(INDIRECT(J$1&amp;"!$E1:$E10000"),INDIRECT(J$1&amp;"!$a1:$a10000")=汇总!$A71),COUNTIF(INDIRECT(J$1&amp;"!$a1:$a10000"),汇总!$A71)),J70)</f>
        <v/>
      </c>
      <c r="K71" s="563">
        <f t="array" ref="K71">IFERROR(INDEX(_xlfn._xlws.FILTER(INDIRECT(K$1&amp;"!$E1:$E10000"),INDIRECT(K$1&amp;"!$a1:$a10000")=汇总!$A71),COUNTIF(INDIRECT(K$1&amp;"!$a1:$a10000"),汇总!$A71)),K70)</f>
        <v/>
      </c>
      <c r="L71" s="563">
        <f t="array" ref="L71">IFERROR(INDEX(_xlfn._xlws.FILTER(INDIRECT(L$1&amp;"!$E1:$E10000"),INDIRECT(L$1&amp;"!$a1:$a10000")=汇总!$A71),COUNTIF(INDIRECT(L$1&amp;"!$a1:$a10000"),汇总!$A71)),L70)</f>
        <v/>
      </c>
      <c r="M71" s="563">
        <f t="array" ref="M71">IFERROR(INDEX(_xlfn._xlws.FILTER(INDIRECT(M$1&amp;"!$E1:$E10000"),INDIRECT(M$1&amp;"!$a1:$a10000")=汇总!$A71),COUNTIF(INDIRECT(M$1&amp;"!$a1:$a10000"),汇总!$A71)),M70)</f>
        <v/>
      </c>
      <c r="N71" s="563">
        <f t="array" ref="N71">IFERROR(INDEX(_xlfn._xlws.FILTER(INDIRECT(N$1&amp;"!$E1:$E10000"),INDIRECT(N$1&amp;"!$a1:$a10000")=汇总!$A71),COUNTIF(INDIRECT(N$1&amp;"!$a1:$a10000"),汇总!$A71)),N70)</f>
        <v/>
      </c>
      <c r="O71" s="563">
        <f t="array" ref="O71">IFERROR(INDEX(_xlfn._xlws.FILTER(INDIRECT(O$1&amp;"!$E1:$E10000"),INDIRECT(O$1&amp;"!$a1:$a10000")=汇总!$A71),COUNTIF(INDIRECT(O$1&amp;"!$a1:$a10000"),汇总!$A71)),O70)</f>
        <v/>
      </c>
      <c r="P71" s="563">
        <f t="array" ref="P71">IFERROR(INDEX(_xlfn._xlws.FILTER(INDIRECT(P$1&amp;"!$E1:$E10000"),INDIRECT(P$1&amp;"!$a1:$a10000")=汇总!$A71),COUNTIF(INDIRECT(P$1&amp;"!$a1:$a10000"),汇总!$A71)),P70)</f>
        <v/>
      </c>
      <c r="Q71" s="563">
        <f t="array" ref="Q71">IFERROR(INDEX(_xlfn._xlws.FILTER(INDIRECT(Q$1&amp;"!$E1:$E10000"),INDIRECT(Q$1&amp;"!$a1:$a10000")=汇总!$A71),COUNTIF(INDIRECT(Q$1&amp;"!$a1:$a10000"),汇总!$A71)),Q70)</f>
        <v/>
      </c>
      <c r="R71" s="563">
        <f t="array" ref="R71">IFERROR(INDEX(_xlfn._xlws.FILTER(INDIRECT(R$1&amp;"!$E1:$E10000"),INDIRECT(R$1&amp;"!$a1:$a10000")=汇总!$A71),COUNTIF(INDIRECT(R$1&amp;"!$a1:$a10000"),汇总!$A71)),R70)</f>
        <v/>
      </c>
      <c r="S71" s="563">
        <f t="array" ref="S71">IFERROR(INDEX(_xlfn._xlws.FILTER(INDIRECT(S$1&amp;"!$E1:$E10000"),INDIRECT(S$1&amp;"!$a1:$a10000")=汇总!$A71),COUNTIF(INDIRECT(S$1&amp;"!$a1:$a10000"),汇总!$A71)),S70)</f>
        <v/>
      </c>
    </row>
    <row r="72" hidden="1" s="326">
      <c r="A72" s="1">
        <f>+A71+1</f>
        <v/>
      </c>
      <c r="B72" s="563">
        <f t="array" ref="B72">IFERROR(INDEX(_xlfn._xlws.FILTER(INDIRECT(B$1&amp;"!$E1:$E10000"),INDIRECT(B$1&amp;"!$a1:$a10000")=汇总!$A72),COUNTIF(INDIRECT(B$1&amp;"!$a1:$a10000"),汇总!$A72)),B71)</f>
        <v/>
      </c>
      <c r="C72" s="563">
        <f t="array" ref="C72">IFERROR(INDEX(_xlfn._xlws.FILTER(INDIRECT(C$1&amp;"!$E1:$E10000"),INDIRECT(C$1&amp;"!$a1:$a10000")=汇总!$A72),COUNTIF(INDIRECT(C$1&amp;"!$a1:$a10000"),汇总!$A72)),C71)</f>
        <v/>
      </c>
      <c r="D72" s="563">
        <f t="array" ref="D72">IFERROR(INDEX(_xlfn._xlws.FILTER(INDIRECT(D$1&amp;"!$E1:$E10000"),INDIRECT(D$1&amp;"!$a1:$a10000")=汇总!$A72),COUNTIF(INDIRECT(D$1&amp;"!$a1:$a10000"),汇总!$A72)),D71)</f>
        <v/>
      </c>
      <c r="E72" s="563">
        <f t="array" ref="E72">IFERROR(INDEX(_xlfn._xlws.FILTER(INDIRECT(E$1&amp;"!$E1:$E10000"),INDIRECT(E$1&amp;"!$a1:$a10000")=汇总!$A72),COUNTIF(INDIRECT(E$1&amp;"!$a1:$a10000"),汇总!$A72)),E71)</f>
        <v/>
      </c>
      <c r="F72" s="563">
        <f t="array" ref="F72">IFERROR(INDEX(_xlfn._xlws.FILTER(INDIRECT(F$1&amp;"!$E1:$E10000"),INDIRECT(F$1&amp;"!$a1:$a10000")=汇总!$A72),COUNTIF(INDIRECT(F$1&amp;"!$a1:$a10000"),汇总!$A72)),F71)</f>
        <v/>
      </c>
      <c r="G72" s="563">
        <f t="array" ref="G72">IFERROR(INDEX(_xlfn._xlws.FILTER(INDIRECT(G$1&amp;"!$E1:$E10000"),INDIRECT(G$1&amp;"!$a1:$a10000")=汇总!$A72),COUNTIF(INDIRECT(G$1&amp;"!$a1:$a10000"),汇总!$A72)),G71)</f>
        <v/>
      </c>
      <c r="H72" s="563">
        <f t="array" ref="H72">IFERROR(INDEX(_xlfn._xlws.FILTER(INDIRECT(H$1&amp;"!$E1:$E10000"),INDIRECT(H$1&amp;"!$a1:$a10000")=汇总!$A72),COUNTIF(INDIRECT(H$1&amp;"!$a1:$a10000"),汇总!$A72)),H71)</f>
        <v/>
      </c>
      <c r="I72" s="563">
        <f t="array" ref="I72">IFERROR(INDEX(_xlfn._xlws.FILTER(INDIRECT(I$1&amp;"!$E1:$E10000"),INDIRECT(I$1&amp;"!$a1:$a10000")=汇总!$A72),COUNTIF(INDIRECT(I$1&amp;"!$a1:$a10000"),汇总!$A72)),I71)</f>
        <v/>
      </c>
      <c r="J72" s="563">
        <f t="array" ref="J72">IFERROR(INDEX(_xlfn._xlws.FILTER(INDIRECT(J$1&amp;"!$E1:$E10000"),INDIRECT(J$1&amp;"!$a1:$a10000")=汇总!$A72),COUNTIF(INDIRECT(J$1&amp;"!$a1:$a10000"),汇总!$A72)),J71)</f>
        <v/>
      </c>
      <c r="K72" s="563">
        <f t="array" ref="K72">IFERROR(INDEX(_xlfn._xlws.FILTER(INDIRECT(K$1&amp;"!$E1:$E10000"),INDIRECT(K$1&amp;"!$a1:$a10000")=汇总!$A72),COUNTIF(INDIRECT(K$1&amp;"!$a1:$a10000"),汇总!$A72)),K71)</f>
        <v/>
      </c>
      <c r="L72" s="563">
        <f t="array" ref="L72">IFERROR(INDEX(_xlfn._xlws.FILTER(INDIRECT(L$1&amp;"!$E1:$E10000"),INDIRECT(L$1&amp;"!$a1:$a10000")=汇总!$A72),COUNTIF(INDIRECT(L$1&amp;"!$a1:$a10000"),汇总!$A72)),L71)</f>
        <v/>
      </c>
      <c r="M72" s="563">
        <f t="array" ref="M72">IFERROR(INDEX(_xlfn._xlws.FILTER(INDIRECT(M$1&amp;"!$E1:$E10000"),INDIRECT(M$1&amp;"!$a1:$a10000")=汇总!$A72),COUNTIF(INDIRECT(M$1&amp;"!$a1:$a10000"),汇总!$A72)),M71)</f>
        <v/>
      </c>
      <c r="N72" s="563">
        <f t="array" ref="N72">IFERROR(INDEX(_xlfn._xlws.FILTER(INDIRECT(N$1&amp;"!$E1:$E10000"),INDIRECT(N$1&amp;"!$a1:$a10000")=汇总!$A72),COUNTIF(INDIRECT(N$1&amp;"!$a1:$a10000"),汇总!$A72)),N71)</f>
        <v/>
      </c>
      <c r="O72" s="563">
        <f t="array" ref="O72">IFERROR(INDEX(_xlfn._xlws.FILTER(INDIRECT(O$1&amp;"!$E1:$E10000"),INDIRECT(O$1&amp;"!$a1:$a10000")=汇总!$A72),COUNTIF(INDIRECT(O$1&amp;"!$a1:$a10000"),汇总!$A72)),O71)</f>
        <v/>
      </c>
      <c r="P72" s="563">
        <f t="array" ref="P72">IFERROR(INDEX(_xlfn._xlws.FILTER(INDIRECT(P$1&amp;"!$E1:$E10000"),INDIRECT(P$1&amp;"!$a1:$a10000")=汇总!$A72),COUNTIF(INDIRECT(P$1&amp;"!$a1:$a10000"),汇总!$A72)),P71)</f>
        <v/>
      </c>
      <c r="Q72" s="563">
        <f t="array" ref="Q72">IFERROR(INDEX(_xlfn._xlws.FILTER(INDIRECT(Q$1&amp;"!$E1:$E10000"),INDIRECT(Q$1&amp;"!$a1:$a10000")=汇总!$A72),COUNTIF(INDIRECT(Q$1&amp;"!$a1:$a10000"),汇总!$A72)),Q71)</f>
        <v/>
      </c>
      <c r="R72" s="563">
        <f t="array" ref="R72">IFERROR(INDEX(_xlfn._xlws.FILTER(INDIRECT(R$1&amp;"!$E1:$E10000"),INDIRECT(R$1&amp;"!$a1:$a10000")=汇总!$A72),COUNTIF(INDIRECT(R$1&amp;"!$a1:$a10000"),汇总!$A72)),R71)</f>
        <v/>
      </c>
      <c r="S72" s="563">
        <f t="array" ref="S72">IFERROR(INDEX(_xlfn._xlws.FILTER(INDIRECT(S$1&amp;"!$E1:$E10000"),INDIRECT(S$1&amp;"!$a1:$a10000")=汇总!$A72),COUNTIF(INDIRECT(S$1&amp;"!$a1:$a10000"),汇总!$A72)),S71)</f>
        <v/>
      </c>
    </row>
    <row r="73" hidden="1" s="326">
      <c r="A73" s="1">
        <f>+A72+1</f>
        <v/>
      </c>
      <c r="B73" s="563">
        <f t="array" ref="B73">IFERROR(INDEX(_xlfn._xlws.FILTER(INDIRECT(B$1&amp;"!$E1:$E10000"),INDIRECT(B$1&amp;"!$a1:$a10000")=汇总!$A73),COUNTIF(INDIRECT(B$1&amp;"!$a1:$a10000"),汇总!$A73)),B72)</f>
        <v/>
      </c>
      <c r="C73" s="563">
        <f t="array" ref="C73">IFERROR(INDEX(_xlfn._xlws.FILTER(INDIRECT(C$1&amp;"!$E1:$E10000"),INDIRECT(C$1&amp;"!$a1:$a10000")=汇总!$A73),COUNTIF(INDIRECT(C$1&amp;"!$a1:$a10000"),汇总!$A73)),C72)</f>
        <v/>
      </c>
      <c r="D73" s="563">
        <f t="array" ref="D73">IFERROR(INDEX(_xlfn._xlws.FILTER(INDIRECT(D$1&amp;"!$E1:$E10000"),INDIRECT(D$1&amp;"!$a1:$a10000")=汇总!$A73),COUNTIF(INDIRECT(D$1&amp;"!$a1:$a10000"),汇总!$A73)),D72)</f>
        <v/>
      </c>
      <c r="E73" s="563">
        <f t="array" ref="E73">IFERROR(INDEX(_xlfn._xlws.FILTER(INDIRECT(E$1&amp;"!$E1:$E10000"),INDIRECT(E$1&amp;"!$a1:$a10000")=汇总!$A73),COUNTIF(INDIRECT(E$1&amp;"!$a1:$a10000"),汇总!$A73)),E72)</f>
        <v/>
      </c>
      <c r="F73" s="563">
        <f t="array" ref="F73">IFERROR(INDEX(_xlfn._xlws.FILTER(INDIRECT(F$1&amp;"!$E1:$E10000"),INDIRECT(F$1&amp;"!$a1:$a10000")=汇总!$A73),COUNTIF(INDIRECT(F$1&amp;"!$a1:$a10000"),汇总!$A73)),F72)</f>
        <v/>
      </c>
      <c r="G73" s="563">
        <f t="array" ref="G73">IFERROR(INDEX(_xlfn._xlws.FILTER(INDIRECT(G$1&amp;"!$E1:$E10000"),INDIRECT(G$1&amp;"!$a1:$a10000")=汇总!$A73),COUNTIF(INDIRECT(G$1&amp;"!$a1:$a10000"),汇总!$A73)),G72)</f>
        <v/>
      </c>
      <c r="H73" s="563">
        <f t="array" ref="H73">IFERROR(INDEX(_xlfn._xlws.FILTER(INDIRECT(H$1&amp;"!$E1:$E10000"),INDIRECT(H$1&amp;"!$a1:$a10000")=汇总!$A73),COUNTIF(INDIRECT(H$1&amp;"!$a1:$a10000"),汇总!$A73)),H72)</f>
        <v/>
      </c>
      <c r="I73" s="563">
        <f t="array" ref="I73">IFERROR(INDEX(_xlfn._xlws.FILTER(INDIRECT(I$1&amp;"!$E1:$E10000"),INDIRECT(I$1&amp;"!$a1:$a10000")=汇总!$A73),COUNTIF(INDIRECT(I$1&amp;"!$a1:$a10000"),汇总!$A73)),I72)</f>
        <v/>
      </c>
      <c r="J73" s="563">
        <f t="array" ref="J73">IFERROR(INDEX(_xlfn._xlws.FILTER(INDIRECT(J$1&amp;"!$E1:$E10000"),INDIRECT(J$1&amp;"!$a1:$a10000")=汇总!$A73),COUNTIF(INDIRECT(J$1&amp;"!$a1:$a10000"),汇总!$A73)),J72)</f>
        <v/>
      </c>
      <c r="K73" s="563">
        <f t="array" ref="K73">IFERROR(INDEX(_xlfn._xlws.FILTER(INDIRECT(K$1&amp;"!$E1:$E10000"),INDIRECT(K$1&amp;"!$a1:$a10000")=汇总!$A73),COUNTIF(INDIRECT(K$1&amp;"!$a1:$a10000"),汇总!$A73)),K72)</f>
        <v/>
      </c>
      <c r="L73" s="563">
        <f t="array" ref="L73">IFERROR(INDEX(_xlfn._xlws.FILTER(INDIRECT(L$1&amp;"!$E1:$E10000"),INDIRECT(L$1&amp;"!$a1:$a10000")=汇总!$A73),COUNTIF(INDIRECT(L$1&amp;"!$a1:$a10000"),汇总!$A73)),L72)</f>
        <v/>
      </c>
      <c r="M73" s="563">
        <f t="array" ref="M73">IFERROR(INDEX(_xlfn._xlws.FILTER(INDIRECT(M$1&amp;"!$E1:$E10000"),INDIRECT(M$1&amp;"!$a1:$a10000")=汇总!$A73),COUNTIF(INDIRECT(M$1&amp;"!$a1:$a10000"),汇总!$A73)),M72)</f>
        <v/>
      </c>
      <c r="N73" s="563">
        <f t="array" ref="N73">IFERROR(INDEX(_xlfn._xlws.FILTER(INDIRECT(N$1&amp;"!$E1:$E10000"),INDIRECT(N$1&amp;"!$a1:$a10000")=汇总!$A73),COUNTIF(INDIRECT(N$1&amp;"!$a1:$a10000"),汇总!$A73)),N72)</f>
        <v/>
      </c>
      <c r="O73" s="563">
        <f t="array" ref="O73">IFERROR(INDEX(_xlfn._xlws.FILTER(INDIRECT(O$1&amp;"!$E1:$E10000"),INDIRECT(O$1&amp;"!$a1:$a10000")=汇总!$A73),COUNTIF(INDIRECT(O$1&amp;"!$a1:$a10000"),汇总!$A73)),O72)</f>
        <v/>
      </c>
      <c r="P73" s="563">
        <f t="array" ref="P73">IFERROR(INDEX(_xlfn._xlws.FILTER(INDIRECT(P$1&amp;"!$E1:$E10000"),INDIRECT(P$1&amp;"!$a1:$a10000")=汇总!$A73),COUNTIF(INDIRECT(P$1&amp;"!$a1:$a10000"),汇总!$A73)),P72)</f>
        <v/>
      </c>
      <c r="Q73" s="563">
        <f t="array" ref="Q73">IFERROR(INDEX(_xlfn._xlws.FILTER(INDIRECT(Q$1&amp;"!$E1:$E10000"),INDIRECT(Q$1&amp;"!$a1:$a10000")=汇总!$A73),COUNTIF(INDIRECT(Q$1&amp;"!$a1:$a10000"),汇总!$A73)),Q72)</f>
        <v/>
      </c>
      <c r="R73" s="563">
        <f t="array" ref="R73">IFERROR(INDEX(_xlfn._xlws.FILTER(INDIRECT(R$1&amp;"!$E1:$E10000"),INDIRECT(R$1&amp;"!$a1:$a10000")=汇总!$A73),COUNTIF(INDIRECT(R$1&amp;"!$a1:$a10000"),汇总!$A73)),R72)</f>
        <v/>
      </c>
      <c r="S73" s="563">
        <f t="array" ref="S73">IFERROR(INDEX(_xlfn._xlws.FILTER(INDIRECT(S$1&amp;"!$E1:$E10000"),INDIRECT(S$1&amp;"!$a1:$a10000")=汇总!$A73),COUNTIF(INDIRECT(S$1&amp;"!$a1:$a10000"),汇总!$A73)),S72)</f>
        <v/>
      </c>
    </row>
    <row r="74" hidden="1" s="326">
      <c r="A74" s="1">
        <f>+A73+1</f>
        <v/>
      </c>
      <c r="B74" s="563">
        <f t="array" ref="B74">IFERROR(INDEX(_xlfn._xlws.FILTER(INDIRECT(B$1&amp;"!$E1:$E10000"),INDIRECT(B$1&amp;"!$a1:$a10000")=汇总!$A74),COUNTIF(INDIRECT(B$1&amp;"!$a1:$a10000"),汇总!$A74)),B73)</f>
        <v/>
      </c>
      <c r="C74" s="563">
        <f t="array" ref="C74">IFERROR(INDEX(_xlfn._xlws.FILTER(INDIRECT(C$1&amp;"!$E1:$E10000"),INDIRECT(C$1&amp;"!$a1:$a10000")=汇总!$A74),COUNTIF(INDIRECT(C$1&amp;"!$a1:$a10000"),汇总!$A74)),C73)</f>
        <v/>
      </c>
      <c r="D74" s="563">
        <f t="array" ref="D74">IFERROR(INDEX(_xlfn._xlws.FILTER(INDIRECT(D$1&amp;"!$E1:$E10000"),INDIRECT(D$1&amp;"!$a1:$a10000")=汇总!$A74),COUNTIF(INDIRECT(D$1&amp;"!$a1:$a10000"),汇总!$A74)),D73)</f>
        <v/>
      </c>
      <c r="E74" s="563">
        <f t="array" ref="E74">IFERROR(INDEX(_xlfn._xlws.FILTER(INDIRECT(E$1&amp;"!$E1:$E10000"),INDIRECT(E$1&amp;"!$a1:$a10000")=汇总!$A74),COUNTIF(INDIRECT(E$1&amp;"!$a1:$a10000"),汇总!$A74)),E73)</f>
        <v/>
      </c>
      <c r="F74" s="563">
        <f t="array" ref="F74">IFERROR(INDEX(_xlfn._xlws.FILTER(INDIRECT(F$1&amp;"!$E1:$E10000"),INDIRECT(F$1&amp;"!$a1:$a10000")=汇总!$A74),COUNTIF(INDIRECT(F$1&amp;"!$a1:$a10000"),汇总!$A74)),F73)</f>
        <v/>
      </c>
      <c r="G74" s="563">
        <f t="array" ref="G74">IFERROR(INDEX(_xlfn._xlws.FILTER(INDIRECT(G$1&amp;"!$E1:$E10000"),INDIRECT(G$1&amp;"!$a1:$a10000")=汇总!$A74),COUNTIF(INDIRECT(G$1&amp;"!$a1:$a10000"),汇总!$A74)),G73)</f>
        <v/>
      </c>
      <c r="H74" s="563">
        <f t="array" ref="H74">IFERROR(INDEX(_xlfn._xlws.FILTER(INDIRECT(H$1&amp;"!$E1:$E10000"),INDIRECT(H$1&amp;"!$a1:$a10000")=汇总!$A74),COUNTIF(INDIRECT(H$1&amp;"!$a1:$a10000"),汇总!$A74)),H73)</f>
        <v/>
      </c>
      <c r="I74" s="563">
        <f t="array" ref="I74">IFERROR(INDEX(_xlfn._xlws.FILTER(INDIRECT(I$1&amp;"!$E1:$E10000"),INDIRECT(I$1&amp;"!$a1:$a10000")=汇总!$A74),COUNTIF(INDIRECT(I$1&amp;"!$a1:$a10000"),汇总!$A74)),I73)</f>
        <v/>
      </c>
      <c r="J74" s="563">
        <f t="array" ref="J74">IFERROR(INDEX(_xlfn._xlws.FILTER(INDIRECT(J$1&amp;"!$E1:$E10000"),INDIRECT(J$1&amp;"!$a1:$a10000")=汇总!$A74),COUNTIF(INDIRECT(J$1&amp;"!$a1:$a10000"),汇总!$A74)),J73)</f>
        <v/>
      </c>
      <c r="K74" s="563">
        <f t="array" ref="K74">IFERROR(INDEX(_xlfn._xlws.FILTER(INDIRECT(K$1&amp;"!$E1:$E10000"),INDIRECT(K$1&amp;"!$a1:$a10000")=汇总!$A74),COUNTIF(INDIRECT(K$1&amp;"!$a1:$a10000"),汇总!$A74)),K73)</f>
        <v/>
      </c>
      <c r="L74" s="563">
        <f t="array" ref="L74">IFERROR(INDEX(_xlfn._xlws.FILTER(INDIRECT(L$1&amp;"!$E1:$E10000"),INDIRECT(L$1&amp;"!$a1:$a10000")=汇总!$A74),COUNTIF(INDIRECT(L$1&amp;"!$a1:$a10000"),汇总!$A74)),L73)</f>
        <v/>
      </c>
      <c r="M74" s="563">
        <f t="array" ref="M74">IFERROR(INDEX(_xlfn._xlws.FILTER(INDIRECT(M$1&amp;"!$E1:$E10000"),INDIRECT(M$1&amp;"!$a1:$a10000")=汇总!$A74),COUNTIF(INDIRECT(M$1&amp;"!$a1:$a10000"),汇总!$A74)),M73)</f>
        <v/>
      </c>
      <c r="N74" s="563">
        <f t="array" ref="N74">IFERROR(INDEX(_xlfn._xlws.FILTER(INDIRECT(N$1&amp;"!$E1:$E10000"),INDIRECT(N$1&amp;"!$a1:$a10000")=汇总!$A74),COUNTIF(INDIRECT(N$1&amp;"!$a1:$a10000"),汇总!$A74)),N73)</f>
        <v/>
      </c>
      <c r="O74" s="563">
        <f t="array" ref="O74">IFERROR(INDEX(_xlfn._xlws.FILTER(INDIRECT(O$1&amp;"!$E1:$E10000"),INDIRECT(O$1&amp;"!$a1:$a10000")=汇总!$A74),COUNTIF(INDIRECT(O$1&amp;"!$a1:$a10000"),汇总!$A74)),O73)</f>
        <v/>
      </c>
      <c r="P74" s="563">
        <f t="array" ref="P74">IFERROR(INDEX(_xlfn._xlws.FILTER(INDIRECT(P$1&amp;"!$E1:$E10000"),INDIRECT(P$1&amp;"!$a1:$a10000")=汇总!$A74),COUNTIF(INDIRECT(P$1&amp;"!$a1:$a10000"),汇总!$A74)),P73)</f>
        <v/>
      </c>
      <c r="Q74" s="563">
        <f t="array" ref="Q74">IFERROR(INDEX(_xlfn._xlws.FILTER(INDIRECT(Q$1&amp;"!$E1:$E10000"),INDIRECT(Q$1&amp;"!$a1:$a10000")=汇总!$A74),COUNTIF(INDIRECT(Q$1&amp;"!$a1:$a10000"),汇总!$A74)),Q73)</f>
        <v/>
      </c>
      <c r="R74" s="563">
        <f t="array" ref="R74">IFERROR(INDEX(_xlfn._xlws.FILTER(INDIRECT(R$1&amp;"!$E1:$E10000"),INDIRECT(R$1&amp;"!$a1:$a10000")=汇总!$A74),COUNTIF(INDIRECT(R$1&amp;"!$a1:$a10000"),汇总!$A74)),R73)</f>
        <v/>
      </c>
      <c r="S74" s="563">
        <f t="array" ref="S74">IFERROR(INDEX(_xlfn._xlws.FILTER(INDIRECT(S$1&amp;"!$E1:$E10000"),INDIRECT(S$1&amp;"!$a1:$a10000")=汇总!$A74),COUNTIF(INDIRECT(S$1&amp;"!$a1:$a10000"),汇总!$A74)),S73)</f>
        <v/>
      </c>
    </row>
    <row r="75" hidden="1" s="326">
      <c r="A75" s="1">
        <f>+A74+1</f>
        <v/>
      </c>
      <c r="B75" s="563">
        <f t="array" ref="B75">IFERROR(INDEX(_xlfn._xlws.FILTER(INDIRECT(B$1&amp;"!$E1:$E10000"),INDIRECT(B$1&amp;"!$a1:$a10000")=汇总!$A75),COUNTIF(INDIRECT(B$1&amp;"!$a1:$a10000"),汇总!$A75)),B74)</f>
        <v/>
      </c>
      <c r="C75" s="563">
        <f t="array" ref="C75">IFERROR(INDEX(_xlfn._xlws.FILTER(INDIRECT(C$1&amp;"!$E1:$E10000"),INDIRECT(C$1&amp;"!$a1:$a10000")=汇总!$A75),COUNTIF(INDIRECT(C$1&amp;"!$a1:$a10000"),汇总!$A75)),C74)</f>
        <v/>
      </c>
      <c r="D75" s="563">
        <f t="array" ref="D75">IFERROR(INDEX(_xlfn._xlws.FILTER(INDIRECT(D$1&amp;"!$E1:$E10000"),INDIRECT(D$1&amp;"!$a1:$a10000")=汇总!$A75),COUNTIF(INDIRECT(D$1&amp;"!$a1:$a10000"),汇总!$A75)),D74)</f>
        <v/>
      </c>
      <c r="E75" s="563">
        <f t="array" ref="E75">IFERROR(INDEX(_xlfn._xlws.FILTER(INDIRECT(E$1&amp;"!$E1:$E10000"),INDIRECT(E$1&amp;"!$a1:$a10000")=汇总!$A75),COUNTIF(INDIRECT(E$1&amp;"!$a1:$a10000"),汇总!$A75)),E74)</f>
        <v/>
      </c>
      <c r="F75" s="563">
        <f t="array" ref="F75">IFERROR(INDEX(_xlfn._xlws.FILTER(INDIRECT(F$1&amp;"!$E1:$E10000"),INDIRECT(F$1&amp;"!$a1:$a10000")=汇总!$A75),COUNTIF(INDIRECT(F$1&amp;"!$a1:$a10000"),汇总!$A75)),F74)</f>
        <v/>
      </c>
      <c r="G75" s="563">
        <f t="array" ref="G75">IFERROR(INDEX(_xlfn._xlws.FILTER(INDIRECT(G$1&amp;"!$E1:$E10000"),INDIRECT(G$1&amp;"!$a1:$a10000")=汇总!$A75),COUNTIF(INDIRECT(G$1&amp;"!$a1:$a10000"),汇总!$A75)),G74)</f>
        <v/>
      </c>
      <c r="H75" s="563">
        <f t="array" ref="H75">IFERROR(INDEX(_xlfn._xlws.FILTER(INDIRECT(H$1&amp;"!$E1:$E10000"),INDIRECT(H$1&amp;"!$a1:$a10000")=汇总!$A75),COUNTIF(INDIRECT(H$1&amp;"!$a1:$a10000"),汇总!$A75)),H74)</f>
        <v/>
      </c>
      <c r="I75" s="563">
        <f t="array" ref="I75">IFERROR(INDEX(_xlfn._xlws.FILTER(INDIRECT(I$1&amp;"!$E1:$E10000"),INDIRECT(I$1&amp;"!$a1:$a10000")=汇总!$A75),COUNTIF(INDIRECT(I$1&amp;"!$a1:$a10000"),汇总!$A75)),I74)</f>
        <v/>
      </c>
      <c r="J75" s="563">
        <f t="array" ref="J75">IFERROR(INDEX(_xlfn._xlws.FILTER(INDIRECT(J$1&amp;"!$E1:$E10000"),INDIRECT(J$1&amp;"!$a1:$a10000")=汇总!$A75),COUNTIF(INDIRECT(J$1&amp;"!$a1:$a10000"),汇总!$A75)),J74)</f>
        <v/>
      </c>
      <c r="K75" s="563">
        <f t="array" ref="K75">IFERROR(INDEX(_xlfn._xlws.FILTER(INDIRECT(K$1&amp;"!$E1:$E10000"),INDIRECT(K$1&amp;"!$a1:$a10000")=汇总!$A75),COUNTIF(INDIRECT(K$1&amp;"!$a1:$a10000"),汇总!$A75)),K74)</f>
        <v/>
      </c>
      <c r="L75" s="563">
        <f t="array" ref="L75">IFERROR(INDEX(_xlfn._xlws.FILTER(INDIRECT(L$1&amp;"!$E1:$E10000"),INDIRECT(L$1&amp;"!$a1:$a10000")=汇总!$A75),COUNTIF(INDIRECT(L$1&amp;"!$a1:$a10000"),汇总!$A75)),L74)</f>
        <v/>
      </c>
      <c r="M75" s="563">
        <f t="array" ref="M75">IFERROR(INDEX(_xlfn._xlws.FILTER(INDIRECT(M$1&amp;"!$E1:$E10000"),INDIRECT(M$1&amp;"!$a1:$a10000")=汇总!$A75),COUNTIF(INDIRECT(M$1&amp;"!$a1:$a10000"),汇总!$A75)),M74)</f>
        <v/>
      </c>
      <c r="N75" s="563">
        <f t="array" ref="N75">IFERROR(INDEX(_xlfn._xlws.FILTER(INDIRECT(N$1&amp;"!$E1:$E10000"),INDIRECT(N$1&amp;"!$a1:$a10000")=汇总!$A75),COUNTIF(INDIRECT(N$1&amp;"!$a1:$a10000"),汇总!$A75)),N74)</f>
        <v/>
      </c>
      <c r="O75" s="563">
        <f t="array" ref="O75">IFERROR(INDEX(_xlfn._xlws.FILTER(INDIRECT(O$1&amp;"!$E1:$E10000"),INDIRECT(O$1&amp;"!$a1:$a10000")=汇总!$A75),COUNTIF(INDIRECT(O$1&amp;"!$a1:$a10000"),汇总!$A75)),O74)</f>
        <v/>
      </c>
      <c r="P75" s="563">
        <f t="array" ref="P75">IFERROR(INDEX(_xlfn._xlws.FILTER(INDIRECT(P$1&amp;"!$E1:$E10000"),INDIRECT(P$1&amp;"!$a1:$a10000")=汇总!$A75),COUNTIF(INDIRECT(P$1&amp;"!$a1:$a10000"),汇总!$A75)),P74)</f>
        <v/>
      </c>
      <c r="Q75" s="563">
        <f t="array" ref="Q75">IFERROR(INDEX(_xlfn._xlws.FILTER(INDIRECT(Q$1&amp;"!$E1:$E10000"),INDIRECT(Q$1&amp;"!$a1:$a10000")=汇总!$A75),COUNTIF(INDIRECT(Q$1&amp;"!$a1:$a10000"),汇总!$A75)),Q74)</f>
        <v/>
      </c>
      <c r="R75" s="563">
        <f t="array" ref="R75">IFERROR(INDEX(_xlfn._xlws.FILTER(INDIRECT(R$1&amp;"!$E1:$E10000"),INDIRECT(R$1&amp;"!$a1:$a10000")=汇总!$A75),COUNTIF(INDIRECT(R$1&amp;"!$a1:$a10000"),汇总!$A75)),R74)</f>
        <v/>
      </c>
      <c r="S75" s="563">
        <f t="array" ref="S75">IFERROR(INDEX(_xlfn._xlws.FILTER(INDIRECT(S$1&amp;"!$E1:$E10000"),INDIRECT(S$1&amp;"!$a1:$a10000")=汇总!$A75),COUNTIF(INDIRECT(S$1&amp;"!$a1:$a10000"),汇总!$A75)),S74)</f>
        <v/>
      </c>
    </row>
    <row r="76" hidden="1" s="326">
      <c r="A76" s="1">
        <f>+A75+1</f>
        <v/>
      </c>
      <c r="B76" s="563">
        <f t="array" ref="B76">IFERROR(INDEX(_xlfn._xlws.FILTER(INDIRECT(B$1&amp;"!$E1:$E10000"),INDIRECT(B$1&amp;"!$a1:$a10000")=汇总!$A76),COUNTIF(INDIRECT(B$1&amp;"!$a1:$a10000"),汇总!$A76)),B75)</f>
        <v/>
      </c>
      <c r="C76" s="563">
        <f t="array" ref="C76">IFERROR(INDEX(_xlfn._xlws.FILTER(INDIRECT(C$1&amp;"!$E1:$E10000"),INDIRECT(C$1&amp;"!$a1:$a10000")=汇总!$A76),COUNTIF(INDIRECT(C$1&amp;"!$a1:$a10000"),汇总!$A76)),C75)</f>
        <v/>
      </c>
      <c r="D76" s="563">
        <f t="array" ref="D76">IFERROR(INDEX(_xlfn._xlws.FILTER(INDIRECT(D$1&amp;"!$E1:$E10000"),INDIRECT(D$1&amp;"!$a1:$a10000")=汇总!$A76),COUNTIF(INDIRECT(D$1&amp;"!$a1:$a10000"),汇总!$A76)),D75)</f>
        <v/>
      </c>
      <c r="E76" s="563">
        <f t="array" ref="E76">IFERROR(INDEX(_xlfn._xlws.FILTER(INDIRECT(E$1&amp;"!$E1:$E10000"),INDIRECT(E$1&amp;"!$a1:$a10000")=汇总!$A76),COUNTIF(INDIRECT(E$1&amp;"!$a1:$a10000"),汇总!$A76)),E75)</f>
        <v/>
      </c>
      <c r="F76" s="563">
        <f t="array" ref="F76">IFERROR(INDEX(_xlfn._xlws.FILTER(INDIRECT(F$1&amp;"!$E1:$E10000"),INDIRECT(F$1&amp;"!$a1:$a10000")=汇总!$A76),COUNTIF(INDIRECT(F$1&amp;"!$a1:$a10000"),汇总!$A76)),F75)</f>
        <v/>
      </c>
      <c r="G76" s="563">
        <f t="array" ref="G76">IFERROR(INDEX(_xlfn._xlws.FILTER(INDIRECT(G$1&amp;"!$E1:$E10000"),INDIRECT(G$1&amp;"!$a1:$a10000")=汇总!$A76),COUNTIF(INDIRECT(G$1&amp;"!$a1:$a10000"),汇总!$A76)),G75)</f>
        <v/>
      </c>
      <c r="H76" s="563">
        <f t="array" ref="H76">IFERROR(INDEX(_xlfn._xlws.FILTER(INDIRECT(H$1&amp;"!$E1:$E10000"),INDIRECT(H$1&amp;"!$a1:$a10000")=汇总!$A76),COUNTIF(INDIRECT(H$1&amp;"!$a1:$a10000"),汇总!$A76)),H75)</f>
        <v/>
      </c>
      <c r="I76" s="563">
        <f t="array" ref="I76">IFERROR(INDEX(_xlfn._xlws.FILTER(INDIRECT(I$1&amp;"!$E1:$E10000"),INDIRECT(I$1&amp;"!$a1:$a10000")=汇总!$A76),COUNTIF(INDIRECT(I$1&amp;"!$a1:$a10000"),汇总!$A76)),I75)</f>
        <v/>
      </c>
      <c r="J76" s="563">
        <f t="array" ref="J76">IFERROR(INDEX(_xlfn._xlws.FILTER(INDIRECT(J$1&amp;"!$E1:$E10000"),INDIRECT(J$1&amp;"!$a1:$a10000")=汇总!$A76),COUNTIF(INDIRECT(J$1&amp;"!$a1:$a10000"),汇总!$A76)),J75)</f>
        <v/>
      </c>
      <c r="K76" s="563">
        <f t="array" ref="K76">IFERROR(INDEX(_xlfn._xlws.FILTER(INDIRECT(K$1&amp;"!$E1:$E10000"),INDIRECT(K$1&amp;"!$a1:$a10000")=汇总!$A76),COUNTIF(INDIRECT(K$1&amp;"!$a1:$a10000"),汇总!$A76)),K75)</f>
        <v/>
      </c>
      <c r="L76" s="563">
        <f t="array" ref="L76">IFERROR(INDEX(_xlfn._xlws.FILTER(INDIRECT(L$1&amp;"!$E1:$E10000"),INDIRECT(L$1&amp;"!$a1:$a10000")=汇总!$A76),COUNTIF(INDIRECT(L$1&amp;"!$a1:$a10000"),汇总!$A76)),L75)</f>
        <v/>
      </c>
      <c r="M76" s="563">
        <f t="array" ref="M76">IFERROR(INDEX(_xlfn._xlws.FILTER(INDIRECT(M$1&amp;"!$E1:$E10000"),INDIRECT(M$1&amp;"!$a1:$a10000")=汇总!$A76),COUNTIF(INDIRECT(M$1&amp;"!$a1:$a10000"),汇总!$A76)),M75)</f>
        <v/>
      </c>
      <c r="N76" s="563">
        <f t="array" ref="N76">IFERROR(INDEX(_xlfn._xlws.FILTER(INDIRECT(N$1&amp;"!$E1:$E10000"),INDIRECT(N$1&amp;"!$a1:$a10000")=汇总!$A76),COUNTIF(INDIRECT(N$1&amp;"!$a1:$a10000"),汇总!$A76)),N75)</f>
        <v/>
      </c>
      <c r="O76" s="563">
        <f t="array" ref="O76">IFERROR(INDEX(_xlfn._xlws.FILTER(INDIRECT(O$1&amp;"!$E1:$E10000"),INDIRECT(O$1&amp;"!$a1:$a10000")=汇总!$A76),COUNTIF(INDIRECT(O$1&amp;"!$a1:$a10000"),汇总!$A76)),O75)</f>
        <v/>
      </c>
      <c r="P76" s="563">
        <f t="array" ref="P76">IFERROR(INDEX(_xlfn._xlws.FILTER(INDIRECT(P$1&amp;"!$E1:$E10000"),INDIRECT(P$1&amp;"!$a1:$a10000")=汇总!$A76),COUNTIF(INDIRECT(P$1&amp;"!$a1:$a10000"),汇总!$A76)),P75)</f>
        <v/>
      </c>
      <c r="Q76" s="563">
        <f t="array" ref="Q76">IFERROR(INDEX(_xlfn._xlws.FILTER(INDIRECT(Q$1&amp;"!$E1:$E10000"),INDIRECT(Q$1&amp;"!$a1:$a10000")=汇总!$A76),COUNTIF(INDIRECT(Q$1&amp;"!$a1:$a10000"),汇总!$A76)),Q75)</f>
        <v/>
      </c>
      <c r="R76" s="563">
        <f t="array" ref="R76">IFERROR(INDEX(_xlfn._xlws.FILTER(INDIRECT(R$1&amp;"!$E1:$E10000"),INDIRECT(R$1&amp;"!$a1:$a10000")=汇总!$A76),COUNTIF(INDIRECT(R$1&amp;"!$a1:$a10000"),汇总!$A76)),R75)</f>
        <v/>
      </c>
      <c r="S76" s="563">
        <f t="array" ref="S76">IFERROR(INDEX(_xlfn._xlws.FILTER(INDIRECT(S$1&amp;"!$E1:$E10000"),INDIRECT(S$1&amp;"!$a1:$a10000")=汇总!$A76),COUNTIF(INDIRECT(S$1&amp;"!$a1:$a10000"),汇总!$A76)),S75)</f>
        <v/>
      </c>
    </row>
    <row r="77" hidden="1" s="326">
      <c r="A77" s="1">
        <f>+A76+1</f>
        <v/>
      </c>
      <c r="B77" s="563">
        <f t="array" ref="B77">IFERROR(INDEX(_xlfn._xlws.FILTER(INDIRECT(B$1&amp;"!$E1:$E10000"),INDIRECT(B$1&amp;"!$a1:$a10000")=汇总!$A77),COUNTIF(INDIRECT(B$1&amp;"!$a1:$a10000"),汇总!$A77)),B76)</f>
        <v/>
      </c>
      <c r="C77" s="563">
        <f t="array" ref="C77">IFERROR(INDEX(_xlfn._xlws.FILTER(INDIRECT(C$1&amp;"!$E1:$E10000"),INDIRECT(C$1&amp;"!$a1:$a10000")=汇总!$A77),COUNTIF(INDIRECT(C$1&amp;"!$a1:$a10000"),汇总!$A77)),C76)</f>
        <v/>
      </c>
      <c r="D77" s="563">
        <f t="array" ref="D77">IFERROR(INDEX(_xlfn._xlws.FILTER(INDIRECT(D$1&amp;"!$E1:$E10000"),INDIRECT(D$1&amp;"!$a1:$a10000")=汇总!$A77),COUNTIF(INDIRECT(D$1&amp;"!$a1:$a10000"),汇总!$A77)),D76)</f>
        <v/>
      </c>
      <c r="E77" s="563">
        <f t="array" ref="E77">IFERROR(INDEX(_xlfn._xlws.FILTER(INDIRECT(E$1&amp;"!$E1:$E10000"),INDIRECT(E$1&amp;"!$a1:$a10000")=汇总!$A77),COUNTIF(INDIRECT(E$1&amp;"!$a1:$a10000"),汇总!$A77)),E76)</f>
        <v/>
      </c>
      <c r="F77" s="563">
        <f t="array" ref="F77">IFERROR(INDEX(_xlfn._xlws.FILTER(INDIRECT(F$1&amp;"!$E1:$E10000"),INDIRECT(F$1&amp;"!$a1:$a10000")=汇总!$A77),COUNTIF(INDIRECT(F$1&amp;"!$a1:$a10000"),汇总!$A77)),F76)</f>
        <v/>
      </c>
      <c r="G77" s="563">
        <f t="array" ref="G77">IFERROR(INDEX(_xlfn._xlws.FILTER(INDIRECT(G$1&amp;"!$E1:$E10000"),INDIRECT(G$1&amp;"!$a1:$a10000")=汇总!$A77),COUNTIF(INDIRECT(G$1&amp;"!$a1:$a10000"),汇总!$A77)),G76)</f>
        <v/>
      </c>
      <c r="H77" s="563">
        <f t="array" ref="H77">IFERROR(INDEX(_xlfn._xlws.FILTER(INDIRECT(H$1&amp;"!$E1:$E10000"),INDIRECT(H$1&amp;"!$a1:$a10000")=汇总!$A77),COUNTIF(INDIRECT(H$1&amp;"!$a1:$a10000"),汇总!$A77)),H76)</f>
        <v/>
      </c>
      <c r="I77" s="563">
        <f t="array" ref="I77">IFERROR(INDEX(_xlfn._xlws.FILTER(INDIRECT(I$1&amp;"!$E1:$E10000"),INDIRECT(I$1&amp;"!$a1:$a10000")=汇总!$A77),COUNTIF(INDIRECT(I$1&amp;"!$a1:$a10000"),汇总!$A77)),I76)</f>
        <v/>
      </c>
      <c r="J77" s="563">
        <f t="array" ref="J77">IFERROR(INDEX(_xlfn._xlws.FILTER(INDIRECT(J$1&amp;"!$E1:$E10000"),INDIRECT(J$1&amp;"!$a1:$a10000")=汇总!$A77),COUNTIF(INDIRECT(J$1&amp;"!$a1:$a10000"),汇总!$A77)),J76)</f>
        <v/>
      </c>
      <c r="K77" s="563">
        <f t="array" ref="K77">IFERROR(INDEX(_xlfn._xlws.FILTER(INDIRECT(K$1&amp;"!$E1:$E10000"),INDIRECT(K$1&amp;"!$a1:$a10000")=汇总!$A77),COUNTIF(INDIRECT(K$1&amp;"!$a1:$a10000"),汇总!$A77)),K76)</f>
        <v/>
      </c>
      <c r="L77" s="563">
        <f t="array" ref="L77">IFERROR(INDEX(_xlfn._xlws.FILTER(INDIRECT(L$1&amp;"!$E1:$E10000"),INDIRECT(L$1&amp;"!$a1:$a10000")=汇总!$A77),COUNTIF(INDIRECT(L$1&amp;"!$a1:$a10000"),汇总!$A77)),L76)</f>
        <v/>
      </c>
      <c r="M77" s="563">
        <f t="array" ref="M77">IFERROR(INDEX(_xlfn._xlws.FILTER(INDIRECT(M$1&amp;"!$E1:$E10000"),INDIRECT(M$1&amp;"!$a1:$a10000")=汇总!$A77),COUNTIF(INDIRECT(M$1&amp;"!$a1:$a10000"),汇总!$A77)),M76)</f>
        <v/>
      </c>
      <c r="N77" s="563">
        <f t="array" ref="N77">IFERROR(INDEX(_xlfn._xlws.FILTER(INDIRECT(N$1&amp;"!$E1:$E10000"),INDIRECT(N$1&amp;"!$a1:$a10000")=汇总!$A77),COUNTIF(INDIRECT(N$1&amp;"!$a1:$a10000"),汇总!$A77)),N76)</f>
        <v/>
      </c>
      <c r="O77" s="563">
        <f t="array" ref="O77">IFERROR(INDEX(_xlfn._xlws.FILTER(INDIRECT(O$1&amp;"!$E1:$E10000"),INDIRECT(O$1&amp;"!$a1:$a10000")=汇总!$A77),COUNTIF(INDIRECT(O$1&amp;"!$a1:$a10000"),汇总!$A77)),O76)</f>
        <v/>
      </c>
      <c r="P77" s="563">
        <f t="array" ref="P77">IFERROR(INDEX(_xlfn._xlws.FILTER(INDIRECT(P$1&amp;"!$E1:$E10000"),INDIRECT(P$1&amp;"!$a1:$a10000")=汇总!$A77),COUNTIF(INDIRECT(P$1&amp;"!$a1:$a10000"),汇总!$A77)),P76)</f>
        <v/>
      </c>
      <c r="Q77" s="563">
        <f t="array" ref="Q77">IFERROR(INDEX(_xlfn._xlws.FILTER(INDIRECT(Q$1&amp;"!$E1:$E10000"),INDIRECT(Q$1&amp;"!$a1:$a10000")=汇总!$A77),COUNTIF(INDIRECT(Q$1&amp;"!$a1:$a10000"),汇总!$A77)),Q76)</f>
        <v/>
      </c>
      <c r="R77" s="563">
        <f t="array" ref="R77">IFERROR(INDEX(_xlfn._xlws.FILTER(INDIRECT(R$1&amp;"!$E1:$E10000"),INDIRECT(R$1&amp;"!$a1:$a10000")=汇总!$A77),COUNTIF(INDIRECT(R$1&amp;"!$a1:$a10000"),汇总!$A77)),R76)</f>
        <v/>
      </c>
      <c r="S77" s="563">
        <f t="array" ref="S77">IFERROR(INDEX(_xlfn._xlws.FILTER(INDIRECT(S$1&amp;"!$E1:$E10000"),INDIRECT(S$1&amp;"!$a1:$a10000")=汇总!$A77),COUNTIF(INDIRECT(S$1&amp;"!$a1:$a10000"),汇总!$A77)),S76)</f>
        <v/>
      </c>
    </row>
    <row r="78" hidden="1" s="326">
      <c r="A78" s="1">
        <f>+A77+1</f>
        <v/>
      </c>
      <c r="B78" s="563">
        <f t="array" ref="B78">IFERROR(INDEX(_xlfn._xlws.FILTER(INDIRECT(B$1&amp;"!$E1:$E10000"),INDIRECT(B$1&amp;"!$a1:$a10000")=汇总!$A78),COUNTIF(INDIRECT(B$1&amp;"!$a1:$a10000"),汇总!$A78)),B77)</f>
        <v/>
      </c>
      <c r="C78" s="563">
        <f t="array" ref="C78">IFERROR(INDEX(_xlfn._xlws.FILTER(INDIRECT(C$1&amp;"!$E1:$E10000"),INDIRECT(C$1&amp;"!$a1:$a10000")=汇总!$A78),COUNTIF(INDIRECT(C$1&amp;"!$a1:$a10000"),汇总!$A78)),C77)</f>
        <v/>
      </c>
      <c r="D78" s="563">
        <f t="array" ref="D78">IFERROR(INDEX(_xlfn._xlws.FILTER(INDIRECT(D$1&amp;"!$E1:$E10000"),INDIRECT(D$1&amp;"!$a1:$a10000")=汇总!$A78),COUNTIF(INDIRECT(D$1&amp;"!$a1:$a10000"),汇总!$A78)),D77)</f>
        <v/>
      </c>
      <c r="E78" s="563">
        <f t="array" ref="E78">IFERROR(INDEX(_xlfn._xlws.FILTER(INDIRECT(E$1&amp;"!$E1:$E10000"),INDIRECT(E$1&amp;"!$a1:$a10000")=汇总!$A78),COUNTIF(INDIRECT(E$1&amp;"!$a1:$a10000"),汇总!$A78)),E77)</f>
        <v/>
      </c>
      <c r="F78" s="563">
        <f t="array" ref="F78">IFERROR(INDEX(_xlfn._xlws.FILTER(INDIRECT(F$1&amp;"!$E1:$E10000"),INDIRECT(F$1&amp;"!$a1:$a10000")=汇总!$A78),COUNTIF(INDIRECT(F$1&amp;"!$a1:$a10000"),汇总!$A78)),F77)</f>
        <v/>
      </c>
      <c r="G78" s="563">
        <f t="array" ref="G78">IFERROR(INDEX(_xlfn._xlws.FILTER(INDIRECT(G$1&amp;"!$E1:$E10000"),INDIRECT(G$1&amp;"!$a1:$a10000")=汇总!$A78),COUNTIF(INDIRECT(G$1&amp;"!$a1:$a10000"),汇总!$A78)),G77)</f>
        <v/>
      </c>
      <c r="H78" s="563">
        <f t="array" ref="H78">IFERROR(INDEX(_xlfn._xlws.FILTER(INDIRECT(H$1&amp;"!$E1:$E10000"),INDIRECT(H$1&amp;"!$a1:$a10000")=汇总!$A78),COUNTIF(INDIRECT(H$1&amp;"!$a1:$a10000"),汇总!$A78)),H77)</f>
        <v/>
      </c>
      <c r="I78" s="563">
        <f t="array" ref="I78">IFERROR(INDEX(_xlfn._xlws.FILTER(INDIRECT(I$1&amp;"!$E1:$E10000"),INDIRECT(I$1&amp;"!$a1:$a10000")=汇总!$A78),COUNTIF(INDIRECT(I$1&amp;"!$a1:$a10000"),汇总!$A78)),I77)</f>
        <v/>
      </c>
      <c r="J78" s="563">
        <f t="array" ref="J78">IFERROR(INDEX(_xlfn._xlws.FILTER(INDIRECT(J$1&amp;"!$E1:$E10000"),INDIRECT(J$1&amp;"!$a1:$a10000")=汇总!$A78),COUNTIF(INDIRECT(J$1&amp;"!$a1:$a10000"),汇总!$A78)),J77)</f>
        <v/>
      </c>
      <c r="K78" s="563">
        <f t="array" ref="K78">IFERROR(INDEX(_xlfn._xlws.FILTER(INDIRECT(K$1&amp;"!$E1:$E10000"),INDIRECT(K$1&amp;"!$a1:$a10000")=汇总!$A78),COUNTIF(INDIRECT(K$1&amp;"!$a1:$a10000"),汇总!$A78)),K77)</f>
        <v/>
      </c>
      <c r="L78" s="563">
        <f t="array" ref="L78">IFERROR(INDEX(_xlfn._xlws.FILTER(INDIRECT(L$1&amp;"!$E1:$E10000"),INDIRECT(L$1&amp;"!$a1:$a10000")=汇总!$A78),COUNTIF(INDIRECT(L$1&amp;"!$a1:$a10000"),汇总!$A78)),L77)</f>
        <v/>
      </c>
      <c r="M78" s="563">
        <f t="array" ref="M78">IFERROR(INDEX(_xlfn._xlws.FILTER(INDIRECT(M$1&amp;"!$E1:$E10000"),INDIRECT(M$1&amp;"!$a1:$a10000")=汇总!$A78),COUNTIF(INDIRECT(M$1&amp;"!$a1:$a10000"),汇总!$A78)),M77)</f>
        <v/>
      </c>
      <c r="N78" s="563">
        <f t="array" ref="N78">IFERROR(INDEX(_xlfn._xlws.FILTER(INDIRECT(N$1&amp;"!$E1:$E10000"),INDIRECT(N$1&amp;"!$a1:$a10000")=汇总!$A78),COUNTIF(INDIRECT(N$1&amp;"!$a1:$a10000"),汇总!$A78)),N77)</f>
        <v/>
      </c>
      <c r="O78" s="563">
        <f t="array" ref="O78">IFERROR(INDEX(_xlfn._xlws.FILTER(INDIRECT(O$1&amp;"!$E1:$E10000"),INDIRECT(O$1&amp;"!$a1:$a10000")=汇总!$A78),COUNTIF(INDIRECT(O$1&amp;"!$a1:$a10000"),汇总!$A78)),O77)</f>
        <v/>
      </c>
      <c r="P78" s="563">
        <f t="array" ref="P78">IFERROR(INDEX(_xlfn._xlws.FILTER(INDIRECT(P$1&amp;"!$E1:$E10000"),INDIRECT(P$1&amp;"!$a1:$a10000")=汇总!$A78),COUNTIF(INDIRECT(P$1&amp;"!$a1:$a10000"),汇总!$A78)),P77)</f>
        <v/>
      </c>
      <c r="Q78" s="563">
        <f t="array" ref="Q78">IFERROR(INDEX(_xlfn._xlws.FILTER(INDIRECT(Q$1&amp;"!$E1:$E10000"),INDIRECT(Q$1&amp;"!$a1:$a10000")=汇总!$A78),COUNTIF(INDIRECT(Q$1&amp;"!$a1:$a10000"),汇总!$A78)),Q77)</f>
        <v/>
      </c>
      <c r="R78" s="563">
        <f t="array" ref="R78">IFERROR(INDEX(_xlfn._xlws.FILTER(INDIRECT(R$1&amp;"!$E1:$E10000"),INDIRECT(R$1&amp;"!$a1:$a10000")=汇总!$A78),COUNTIF(INDIRECT(R$1&amp;"!$a1:$a10000"),汇总!$A78)),R77)</f>
        <v/>
      </c>
      <c r="S78" s="563">
        <f t="array" ref="S78">IFERROR(INDEX(_xlfn._xlws.FILTER(INDIRECT(S$1&amp;"!$E1:$E10000"),INDIRECT(S$1&amp;"!$a1:$a10000")=汇总!$A78),COUNTIF(INDIRECT(S$1&amp;"!$a1:$a10000"),汇总!$A78)),S77)</f>
        <v/>
      </c>
    </row>
    <row r="79" hidden="1" s="326">
      <c r="A79" s="1">
        <f>+A78+1</f>
        <v/>
      </c>
      <c r="B79" s="563">
        <f t="array" ref="B79">IFERROR(INDEX(_xlfn._xlws.FILTER(INDIRECT(B$1&amp;"!$E1:$E10000"),INDIRECT(B$1&amp;"!$a1:$a10000")=汇总!$A79),COUNTIF(INDIRECT(B$1&amp;"!$a1:$a10000"),汇总!$A79)),B78)</f>
        <v/>
      </c>
      <c r="C79" s="563">
        <f t="array" ref="C79">IFERROR(INDEX(_xlfn._xlws.FILTER(INDIRECT(C$1&amp;"!$E1:$E10000"),INDIRECT(C$1&amp;"!$a1:$a10000")=汇总!$A79),COUNTIF(INDIRECT(C$1&amp;"!$a1:$a10000"),汇总!$A79)),C78)</f>
        <v/>
      </c>
      <c r="D79" s="563">
        <f t="array" ref="D79">IFERROR(INDEX(_xlfn._xlws.FILTER(INDIRECT(D$1&amp;"!$E1:$E10000"),INDIRECT(D$1&amp;"!$a1:$a10000")=汇总!$A79),COUNTIF(INDIRECT(D$1&amp;"!$a1:$a10000"),汇总!$A79)),D78)</f>
        <v/>
      </c>
      <c r="E79" s="563">
        <f t="array" ref="E79">IFERROR(INDEX(_xlfn._xlws.FILTER(INDIRECT(E$1&amp;"!$E1:$E10000"),INDIRECT(E$1&amp;"!$a1:$a10000")=汇总!$A79),COUNTIF(INDIRECT(E$1&amp;"!$a1:$a10000"),汇总!$A79)),E78)</f>
        <v/>
      </c>
      <c r="F79" s="563">
        <f t="array" ref="F79">IFERROR(INDEX(_xlfn._xlws.FILTER(INDIRECT(F$1&amp;"!$E1:$E10000"),INDIRECT(F$1&amp;"!$a1:$a10000")=汇总!$A79),COUNTIF(INDIRECT(F$1&amp;"!$a1:$a10000"),汇总!$A79)),F78)</f>
        <v/>
      </c>
      <c r="G79" s="563">
        <f t="array" ref="G79">IFERROR(INDEX(_xlfn._xlws.FILTER(INDIRECT(G$1&amp;"!$E1:$E10000"),INDIRECT(G$1&amp;"!$a1:$a10000")=汇总!$A79),COUNTIF(INDIRECT(G$1&amp;"!$a1:$a10000"),汇总!$A79)),G78)</f>
        <v/>
      </c>
      <c r="H79" s="563">
        <f t="array" ref="H79">IFERROR(INDEX(_xlfn._xlws.FILTER(INDIRECT(H$1&amp;"!$E1:$E10000"),INDIRECT(H$1&amp;"!$a1:$a10000")=汇总!$A79),COUNTIF(INDIRECT(H$1&amp;"!$a1:$a10000"),汇总!$A79)),H78)</f>
        <v/>
      </c>
      <c r="I79" s="563">
        <f t="array" ref="I79">IFERROR(INDEX(_xlfn._xlws.FILTER(INDIRECT(I$1&amp;"!$E1:$E10000"),INDIRECT(I$1&amp;"!$a1:$a10000")=汇总!$A79),COUNTIF(INDIRECT(I$1&amp;"!$a1:$a10000"),汇总!$A79)),I78)</f>
        <v/>
      </c>
      <c r="J79" s="563">
        <f t="array" ref="J79">IFERROR(INDEX(_xlfn._xlws.FILTER(INDIRECT(J$1&amp;"!$E1:$E10000"),INDIRECT(J$1&amp;"!$a1:$a10000")=汇总!$A79),COUNTIF(INDIRECT(J$1&amp;"!$a1:$a10000"),汇总!$A79)),J78)</f>
        <v/>
      </c>
      <c r="K79" s="563">
        <f t="array" ref="K79">IFERROR(INDEX(_xlfn._xlws.FILTER(INDIRECT(K$1&amp;"!$E1:$E10000"),INDIRECT(K$1&amp;"!$a1:$a10000")=汇总!$A79),COUNTIF(INDIRECT(K$1&amp;"!$a1:$a10000"),汇总!$A79)),K78)</f>
        <v/>
      </c>
      <c r="L79" s="563">
        <f t="array" ref="L79">IFERROR(INDEX(_xlfn._xlws.FILTER(INDIRECT(L$1&amp;"!$E1:$E10000"),INDIRECT(L$1&amp;"!$a1:$a10000")=汇总!$A79),COUNTIF(INDIRECT(L$1&amp;"!$a1:$a10000"),汇总!$A79)),L78)</f>
        <v/>
      </c>
      <c r="M79" s="563">
        <f t="array" ref="M79">IFERROR(INDEX(_xlfn._xlws.FILTER(INDIRECT(M$1&amp;"!$E1:$E10000"),INDIRECT(M$1&amp;"!$a1:$a10000")=汇总!$A79),COUNTIF(INDIRECT(M$1&amp;"!$a1:$a10000"),汇总!$A79)),M78)</f>
        <v/>
      </c>
      <c r="N79" s="563">
        <f t="array" ref="N79">IFERROR(INDEX(_xlfn._xlws.FILTER(INDIRECT(N$1&amp;"!$E1:$E10000"),INDIRECT(N$1&amp;"!$a1:$a10000")=汇总!$A79),COUNTIF(INDIRECT(N$1&amp;"!$a1:$a10000"),汇总!$A79)),N78)</f>
        <v/>
      </c>
      <c r="O79" s="563">
        <f t="array" ref="O79">IFERROR(INDEX(_xlfn._xlws.FILTER(INDIRECT(O$1&amp;"!$E1:$E10000"),INDIRECT(O$1&amp;"!$a1:$a10000")=汇总!$A79),COUNTIF(INDIRECT(O$1&amp;"!$a1:$a10000"),汇总!$A79)),O78)</f>
        <v/>
      </c>
      <c r="P79" s="563">
        <f t="array" ref="P79">IFERROR(INDEX(_xlfn._xlws.FILTER(INDIRECT(P$1&amp;"!$E1:$E10000"),INDIRECT(P$1&amp;"!$a1:$a10000")=汇总!$A79),COUNTIF(INDIRECT(P$1&amp;"!$a1:$a10000"),汇总!$A79)),P78)</f>
        <v/>
      </c>
      <c r="Q79" s="563">
        <f t="array" ref="Q79">IFERROR(INDEX(_xlfn._xlws.FILTER(INDIRECT(Q$1&amp;"!$E1:$E10000"),INDIRECT(Q$1&amp;"!$a1:$a10000")=汇总!$A79),COUNTIF(INDIRECT(Q$1&amp;"!$a1:$a10000"),汇总!$A79)),Q78)</f>
        <v/>
      </c>
      <c r="R79" s="563">
        <f t="array" ref="R79">IFERROR(INDEX(_xlfn._xlws.FILTER(INDIRECT(R$1&amp;"!$E1:$E10000"),INDIRECT(R$1&amp;"!$a1:$a10000")=汇总!$A79),COUNTIF(INDIRECT(R$1&amp;"!$a1:$a10000"),汇总!$A79)),R78)</f>
        <v/>
      </c>
      <c r="S79" s="563">
        <f t="array" ref="S79">IFERROR(INDEX(_xlfn._xlws.FILTER(INDIRECT(S$1&amp;"!$E1:$E10000"),INDIRECT(S$1&amp;"!$a1:$a10000")=汇总!$A79),COUNTIF(INDIRECT(S$1&amp;"!$a1:$a10000"),汇总!$A79)),S78)</f>
        <v/>
      </c>
    </row>
    <row r="80" hidden="1" s="326">
      <c r="A80" s="1">
        <f>+A79+1</f>
        <v/>
      </c>
      <c r="B80" s="563">
        <f t="array" ref="B80">IFERROR(INDEX(_xlfn._xlws.FILTER(INDIRECT(B$1&amp;"!$E1:$E10000"),INDIRECT(B$1&amp;"!$a1:$a10000")=汇总!$A80),COUNTIF(INDIRECT(B$1&amp;"!$a1:$a10000"),汇总!$A80)),B79)</f>
        <v/>
      </c>
      <c r="C80" s="563">
        <f t="array" ref="C80">IFERROR(INDEX(_xlfn._xlws.FILTER(INDIRECT(C$1&amp;"!$E1:$E10000"),INDIRECT(C$1&amp;"!$a1:$a10000")=汇总!$A80),COUNTIF(INDIRECT(C$1&amp;"!$a1:$a10000"),汇总!$A80)),C79)</f>
        <v/>
      </c>
      <c r="D80" s="563">
        <f t="array" ref="D80">IFERROR(INDEX(_xlfn._xlws.FILTER(INDIRECT(D$1&amp;"!$E1:$E10000"),INDIRECT(D$1&amp;"!$a1:$a10000")=汇总!$A80),COUNTIF(INDIRECT(D$1&amp;"!$a1:$a10000"),汇总!$A80)),D79)</f>
        <v/>
      </c>
      <c r="E80" s="563">
        <f t="array" ref="E80">IFERROR(INDEX(_xlfn._xlws.FILTER(INDIRECT(E$1&amp;"!$E1:$E10000"),INDIRECT(E$1&amp;"!$a1:$a10000")=汇总!$A80),COUNTIF(INDIRECT(E$1&amp;"!$a1:$a10000"),汇总!$A80)),E79)</f>
        <v/>
      </c>
      <c r="F80" s="563">
        <f t="array" ref="F80">IFERROR(INDEX(_xlfn._xlws.FILTER(INDIRECT(F$1&amp;"!$E1:$E10000"),INDIRECT(F$1&amp;"!$a1:$a10000")=汇总!$A80),COUNTIF(INDIRECT(F$1&amp;"!$a1:$a10000"),汇总!$A80)),F79)</f>
        <v/>
      </c>
      <c r="G80" s="563">
        <f t="array" ref="G80">IFERROR(INDEX(_xlfn._xlws.FILTER(INDIRECT(G$1&amp;"!$E1:$E10000"),INDIRECT(G$1&amp;"!$a1:$a10000")=汇总!$A80),COUNTIF(INDIRECT(G$1&amp;"!$a1:$a10000"),汇总!$A80)),G79)</f>
        <v/>
      </c>
      <c r="H80" s="563">
        <f t="array" ref="H80">IFERROR(INDEX(_xlfn._xlws.FILTER(INDIRECT(H$1&amp;"!$E1:$E10000"),INDIRECT(H$1&amp;"!$a1:$a10000")=汇总!$A80),COUNTIF(INDIRECT(H$1&amp;"!$a1:$a10000"),汇总!$A80)),H79)</f>
        <v/>
      </c>
      <c r="I80" s="563">
        <f t="array" ref="I80">IFERROR(INDEX(_xlfn._xlws.FILTER(INDIRECT(I$1&amp;"!$E1:$E10000"),INDIRECT(I$1&amp;"!$a1:$a10000")=汇总!$A80),COUNTIF(INDIRECT(I$1&amp;"!$a1:$a10000"),汇总!$A80)),I79)</f>
        <v/>
      </c>
      <c r="J80" s="563">
        <f t="array" ref="J80">IFERROR(INDEX(_xlfn._xlws.FILTER(INDIRECT(J$1&amp;"!$E1:$E10000"),INDIRECT(J$1&amp;"!$a1:$a10000")=汇总!$A80),COUNTIF(INDIRECT(J$1&amp;"!$a1:$a10000"),汇总!$A80)),J79)</f>
        <v/>
      </c>
      <c r="K80" s="563">
        <f t="array" ref="K80">IFERROR(INDEX(_xlfn._xlws.FILTER(INDIRECT(K$1&amp;"!$E1:$E10000"),INDIRECT(K$1&amp;"!$a1:$a10000")=汇总!$A80),COUNTIF(INDIRECT(K$1&amp;"!$a1:$a10000"),汇总!$A80)),K79)</f>
        <v/>
      </c>
      <c r="L80" s="563">
        <f t="array" ref="L80">IFERROR(INDEX(_xlfn._xlws.FILTER(INDIRECT(L$1&amp;"!$E1:$E10000"),INDIRECT(L$1&amp;"!$a1:$a10000")=汇总!$A80),COUNTIF(INDIRECT(L$1&amp;"!$a1:$a10000"),汇总!$A80)),L79)</f>
        <v/>
      </c>
      <c r="M80" s="563">
        <f t="array" ref="M80">IFERROR(INDEX(_xlfn._xlws.FILTER(INDIRECT(M$1&amp;"!$E1:$E10000"),INDIRECT(M$1&amp;"!$a1:$a10000")=汇总!$A80),COUNTIF(INDIRECT(M$1&amp;"!$a1:$a10000"),汇总!$A80)),M79)</f>
        <v/>
      </c>
      <c r="N80" s="563">
        <f t="array" ref="N80">IFERROR(INDEX(_xlfn._xlws.FILTER(INDIRECT(N$1&amp;"!$E1:$E10000"),INDIRECT(N$1&amp;"!$a1:$a10000")=汇总!$A80),COUNTIF(INDIRECT(N$1&amp;"!$a1:$a10000"),汇总!$A80)),N79)</f>
        <v/>
      </c>
      <c r="O80" s="563">
        <f t="array" ref="O80">IFERROR(INDEX(_xlfn._xlws.FILTER(INDIRECT(O$1&amp;"!$E1:$E10000"),INDIRECT(O$1&amp;"!$a1:$a10000")=汇总!$A80),COUNTIF(INDIRECT(O$1&amp;"!$a1:$a10000"),汇总!$A80)),O79)</f>
        <v/>
      </c>
      <c r="P80" s="563">
        <f t="array" ref="P80">IFERROR(INDEX(_xlfn._xlws.FILTER(INDIRECT(P$1&amp;"!$E1:$E10000"),INDIRECT(P$1&amp;"!$a1:$a10000")=汇总!$A80),COUNTIF(INDIRECT(P$1&amp;"!$a1:$a10000"),汇总!$A80)),P79)</f>
        <v/>
      </c>
      <c r="Q80" s="563">
        <f t="array" ref="Q80">IFERROR(INDEX(_xlfn._xlws.FILTER(INDIRECT(Q$1&amp;"!$E1:$E10000"),INDIRECT(Q$1&amp;"!$a1:$a10000")=汇总!$A80),COUNTIF(INDIRECT(Q$1&amp;"!$a1:$a10000"),汇总!$A80)),Q79)</f>
        <v/>
      </c>
      <c r="R80" s="563">
        <f t="array" ref="R80">IFERROR(INDEX(_xlfn._xlws.FILTER(INDIRECT(R$1&amp;"!$E1:$E10000"),INDIRECT(R$1&amp;"!$a1:$a10000")=汇总!$A80),COUNTIF(INDIRECT(R$1&amp;"!$a1:$a10000"),汇总!$A80)),R79)</f>
        <v/>
      </c>
      <c r="S80" s="563">
        <f t="array" ref="S80">IFERROR(INDEX(_xlfn._xlws.FILTER(INDIRECT(S$1&amp;"!$E1:$E10000"),INDIRECT(S$1&amp;"!$a1:$a10000")=汇总!$A80),COUNTIF(INDIRECT(S$1&amp;"!$a1:$a10000"),汇总!$A80)),S79)</f>
        <v/>
      </c>
    </row>
    <row r="81" hidden="1" s="326">
      <c r="A81" s="1">
        <f>+A80+1</f>
        <v/>
      </c>
      <c r="B81" s="563">
        <f t="array" ref="B81">IFERROR(INDEX(_xlfn._xlws.FILTER(INDIRECT(B$1&amp;"!$E1:$E10000"),INDIRECT(B$1&amp;"!$a1:$a10000")=汇总!$A81),COUNTIF(INDIRECT(B$1&amp;"!$a1:$a10000"),汇总!$A81)),B80)</f>
        <v/>
      </c>
      <c r="C81" s="563">
        <f t="array" ref="C81">IFERROR(INDEX(_xlfn._xlws.FILTER(INDIRECT(C$1&amp;"!$E1:$E10000"),INDIRECT(C$1&amp;"!$a1:$a10000")=汇总!$A81),COUNTIF(INDIRECT(C$1&amp;"!$a1:$a10000"),汇总!$A81)),C80)</f>
        <v/>
      </c>
      <c r="D81" s="563">
        <f t="array" ref="D81">IFERROR(INDEX(_xlfn._xlws.FILTER(INDIRECT(D$1&amp;"!$E1:$E10000"),INDIRECT(D$1&amp;"!$a1:$a10000")=汇总!$A81),COUNTIF(INDIRECT(D$1&amp;"!$a1:$a10000"),汇总!$A81)),D80)</f>
        <v/>
      </c>
      <c r="E81" s="563">
        <f t="array" ref="E81">IFERROR(INDEX(_xlfn._xlws.FILTER(INDIRECT(E$1&amp;"!$E1:$E10000"),INDIRECT(E$1&amp;"!$a1:$a10000")=汇总!$A81),COUNTIF(INDIRECT(E$1&amp;"!$a1:$a10000"),汇总!$A81)),E80)</f>
        <v/>
      </c>
      <c r="F81" s="563">
        <f t="array" ref="F81">IFERROR(INDEX(_xlfn._xlws.FILTER(INDIRECT(F$1&amp;"!$E1:$E10000"),INDIRECT(F$1&amp;"!$a1:$a10000")=汇总!$A81),COUNTIF(INDIRECT(F$1&amp;"!$a1:$a10000"),汇总!$A81)),F80)</f>
        <v/>
      </c>
      <c r="G81" s="563">
        <f t="array" ref="G81">IFERROR(INDEX(_xlfn._xlws.FILTER(INDIRECT(G$1&amp;"!$E1:$E10000"),INDIRECT(G$1&amp;"!$a1:$a10000")=汇总!$A81),COUNTIF(INDIRECT(G$1&amp;"!$a1:$a10000"),汇总!$A81)),G80)</f>
        <v/>
      </c>
      <c r="H81" s="563">
        <f t="array" ref="H81">IFERROR(INDEX(_xlfn._xlws.FILTER(INDIRECT(H$1&amp;"!$E1:$E10000"),INDIRECT(H$1&amp;"!$a1:$a10000")=汇总!$A81),COUNTIF(INDIRECT(H$1&amp;"!$a1:$a10000"),汇总!$A81)),H80)</f>
        <v/>
      </c>
      <c r="I81" s="563">
        <f t="array" ref="I81">IFERROR(INDEX(_xlfn._xlws.FILTER(INDIRECT(I$1&amp;"!$E1:$E10000"),INDIRECT(I$1&amp;"!$a1:$a10000")=汇总!$A81),COUNTIF(INDIRECT(I$1&amp;"!$a1:$a10000"),汇总!$A81)),I80)</f>
        <v/>
      </c>
      <c r="J81" s="563">
        <f t="array" ref="J81">IFERROR(INDEX(_xlfn._xlws.FILTER(INDIRECT(J$1&amp;"!$E1:$E10000"),INDIRECT(J$1&amp;"!$a1:$a10000")=汇总!$A81),COUNTIF(INDIRECT(J$1&amp;"!$a1:$a10000"),汇总!$A81)),J80)</f>
        <v/>
      </c>
      <c r="K81" s="563">
        <f t="array" ref="K81">IFERROR(INDEX(_xlfn._xlws.FILTER(INDIRECT(K$1&amp;"!$E1:$E10000"),INDIRECT(K$1&amp;"!$a1:$a10000")=汇总!$A81),COUNTIF(INDIRECT(K$1&amp;"!$a1:$a10000"),汇总!$A81)),K80)</f>
        <v/>
      </c>
      <c r="L81" s="563">
        <f t="array" ref="L81">IFERROR(INDEX(_xlfn._xlws.FILTER(INDIRECT(L$1&amp;"!$E1:$E10000"),INDIRECT(L$1&amp;"!$a1:$a10000")=汇总!$A81),COUNTIF(INDIRECT(L$1&amp;"!$a1:$a10000"),汇总!$A81)),L80)</f>
        <v/>
      </c>
      <c r="M81" s="563">
        <f t="array" ref="M81">IFERROR(INDEX(_xlfn._xlws.FILTER(INDIRECT(M$1&amp;"!$E1:$E10000"),INDIRECT(M$1&amp;"!$a1:$a10000")=汇总!$A81),COUNTIF(INDIRECT(M$1&amp;"!$a1:$a10000"),汇总!$A81)),M80)</f>
        <v/>
      </c>
      <c r="N81" s="563">
        <f t="array" ref="N81">IFERROR(INDEX(_xlfn._xlws.FILTER(INDIRECT(N$1&amp;"!$E1:$E10000"),INDIRECT(N$1&amp;"!$a1:$a10000")=汇总!$A81),COUNTIF(INDIRECT(N$1&amp;"!$a1:$a10000"),汇总!$A81)),N80)</f>
        <v/>
      </c>
      <c r="O81" s="563">
        <f t="array" ref="O81">IFERROR(INDEX(_xlfn._xlws.FILTER(INDIRECT(O$1&amp;"!$E1:$E10000"),INDIRECT(O$1&amp;"!$a1:$a10000")=汇总!$A81),COUNTIF(INDIRECT(O$1&amp;"!$a1:$a10000"),汇总!$A81)),O80)</f>
        <v/>
      </c>
      <c r="P81" s="563">
        <f t="array" ref="P81">IFERROR(INDEX(_xlfn._xlws.FILTER(INDIRECT(P$1&amp;"!$E1:$E10000"),INDIRECT(P$1&amp;"!$a1:$a10000")=汇总!$A81),COUNTIF(INDIRECT(P$1&amp;"!$a1:$a10000"),汇总!$A81)),P80)</f>
        <v/>
      </c>
      <c r="Q81" s="563">
        <f t="array" ref="Q81">IFERROR(INDEX(_xlfn._xlws.FILTER(INDIRECT(Q$1&amp;"!$E1:$E10000"),INDIRECT(Q$1&amp;"!$a1:$a10000")=汇总!$A81),COUNTIF(INDIRECT(Q$1&amp;"!$a1:$a10000"),汇总!$A81)),Q80)</f>
        <v/>
      </c>
      <c r="R81" s="563">
        <f t="array" ref="R81">IFERROR(INDEX(_xlfn._xlws.FILTER(INDIRECT(R$1&amp;"!$E1:$E10000"),INDIRECT(R$1&amp;"!$a1:$a10000")=汇总!$A81),COUNTIF(INDIRECT(R$1&amp;"!$a1:$a10000"),汇总!$A81)),R80)</f>
        <v/>
      </c>
      <c r="S81" s="563">
        <f t="array" ref="S81">IFERROR(INDEX(_xlfn._xlws.FILTER(INDIRECT(S$1&amp;"!$E1:$E10000"),INDIRECT(S$1&amp;"!$a1:$a10000")=汇总!$A81),COUNTIF(INDIRECT(S$1&amp;"!$a1:$a10000"),汇总!$A81)),S80)</f>
        <v/>
      </c>
    </row>
    <row r="82" hidden="1" s="326">
      <c r="A82" s="1">
        <f>+A81+1</f>
        <v/>
      </c>
      <c r="B82" s="563">
        <f t="array" ref="B82">IFERROR(INDEX(_xlfn._xlws.FILTER(INDIRECT(B$1&amp;"!$E1:$E10000"),INDIRECT(B$1&amp;"!$a1:$a10000")=汇总!$A82),COUNTIF(INDIRECT(B$1&amp;"!$a1:$a10000"),汇总!$A82)),B81)</f>
        <v/>
      </c>
      <c r="C82" s="563">
        <f t="array" ref="C82">IFERROR(INDEX(_xlfn._xlws.FILTER(INDIRECT(C$1&amp;"!$E1:$E10000"),INDIRECT(C$1&amp;"!$a1:$a10000")=汇总!$A82),COUNTIF(INDIRECT(C$1&amp;"!$a1:$a10000"),汇总!$A82)),C81)</f>
        <v/>
      </c>
      <c r="D82" s="563">
        <f t="array" ref="D82">IFERROR(INDEX(_xlfn._xlws.FILTER(INDIRECT(D$1&amp;"!$E1:$E10000"),INDIRECT(D$1&amp;"!$a1:$a10000")=汇总!$A82),COUNTIF(INDIRECT(D$1&amp;"!$a1:$a10000"),汇总!$A82)),D81)</f>
        <v/>
      </c>
      <c r="E82" s="563">
        <f t="array" ref="E82">IFERROR(INDEX(_xlfn._xlws.FILTER(INDIRECT(E$1&amp;"!$E1:$E10000"),INDIRECT(E$1&amp;"!$a1:$a10000")=汇总!$A82),COUNTIF(INDIRECT(E$1&amp;"!$a1:$a10000"),汇总!$A82)),E81)</f>
        <v/>
      </c>
      <c r="F82" s="563">
        <f t="array" ref="F82">IFERROR(INDEX(_xlfn._xlws.FILTER(INDIRECT(F$1&amp;"!$E1:$E10000"),INDIRECT(F$1&amp;"!$a1:$a10000")=汇总!$A82),COUNTIF(INDIRECT(F$1&amp;"!$a1:$a10000"),汇总!$A82)),F81)</f>
        <v/>
      </c>
      <c r="G82" s="563">
        <f t="array" ref="G82">IFERROR(INDEX(_xlfn._xlws.FILTER(INDIRECT(G$1&amp;"!$E1:$E10000"),INDIRECT(G$1&amp;"!$a1:$a10000")=汇总!$A82),COUNTIF(INDIRECT(G$1&amp;"!$a1:$a10000"),汇总!$A82)),G81)</f>
        <v/>
      </c>
      <c r="H82" s="563">
        <f t="array" ref="H82">IFERROR(INDEX(_xlfn._xlws.FILTER(INDIRECT(H$1&amp;"!$E1:$E10000"),INDIRECT(H$1&amp;"!$a1:$a10000")=汇总!$A82),COUNTIF(INDIRECT(H$1&amp;"!$a1:$a10000"),汇总!$A82)),H81)</f>
        <v/>
      </c>
      <c r="I82" s="563">
        <f t="array" ref="I82">IFERROR(INDEX(_xlfn._xlws.FILTER(INDIRECT(I$1&amp;"!$E1:$E10000"),INDIRECT(I$1&amp;"!$a1:$a10000")=汇总!$A82),COUNTIF(INDIRECT(I$1&amp;"!$a1:$a10000"),汇总!$A82)),I81)</f>
        <v/>
      </c>
      <c r="J82" s="563">
        <f t="array" ref="J82">IFERROR(INDEX(_xlfn._xlws.FILTER(INDIRECT(J$1&amp;"!$E1:$E10000"),INDIRECT(J$1&amp;"!$a1:$a10000")=汇总!$A82),COUNTIF(INDIRECT(J$1&amp;"!$a1:$a10000"),汇总!$A82)),J81)</f>
        <v/>
      </c>
      <c r="K82" s="563">
        <f t="array" ref="K82">IFERROR(INDEX(_xlfn._xlws.FILTER(INDIRECT(K$1&amp;"!$E1:$E10000"),INDIRECT(K$1&amp;"!$a1:$a10000")=汇总!$A82),COUNTIF(INDIRECT(K$1&amp;"!$a1:$a10000"),汇总!$A82)),K81)</f>
        <v/>
      </c>
      <c r="L82" s="563">
        <f t="array" ref="L82">IFERROR(INDEX(_xlfn._xlws.FILTER(INDIRECT(L$1&amp;"!$E1:$E10000"),INDIRECT(L$1&amp;"!$a1:$a10000")=汇总!$A82),COUNTIF(INDIRECT(L$1&amp;"!$a1:$a10000"),汇总!$A82)),L81)</f>
        <v/>
      </c>
      <c r="M82" s="563">
        <f t="array" ref="M82">IFERROR(INDEX(_xlfn._xlws.FILTER(INDIRECT(M$1&amp;"!$E1:$E10000"),INDIRECT(M$1&amp;"!$a1:$a10000")=汇总!$A82),COUNTIF(INDIRECT(M$1&amp;"!$a1:$a10000"),汇总!$A82)),M81)</f>
        <v/>
      </c>
      <c r="N82" s="563">
        <f t="array" ref="N82">IFERROR(INDEX(_xlfn._xlws.FILTER(INDIRECT(N$1&amp;"!$E1:$E10000"),INDIRECT(N$1&amp;"!$a1:$a10000")=汇总!$A82),COUNTIF(INDIRECT(N$1&amp;"!$a1:$a10000"),汇总!$A82)),N81)</f>
        <v/>
      </c>
      <c r="O82" s="563">
        <f t="array" ref="O82">IFERROR(INDEX(_xlfn._xlws.FILTER(INDIRECT(O$1&amp;"!$E1:$E10000"),INDIRECT(O$1&amp;"!$a1:$a10000")=汇总!$A82),COUNTIF(INDIRECT(O$1&amp;"!$a1:$a10000"),汇总!$A82)),O81)</f>
        <v/>
      </c>
      <c r="P82" s="563">
        <f t="array" ref="P82">IFERROR(INDEX(_xlfn._xlws.FILTER(INDIRECT(P$1&amp;"!$E1:$E10000"),INDIRECT(P$1&amp;"!$a1:$a10000")=汇总!$A82),COUNTIF(INDIRECT(P$1&amp;"!$a1:$a10000"),汇总!$A82)),P81)</f>
        <v/>
      </c>
      <c r="Q82" s="563">
        <f t="array" ref="Q82">IFERROR(INDEX(_xlfn._xlws.FILTER(INDIRECT(Q$1&amp;"!$E1:$E10000"),INDIRECT(Q$1&amp;"!$a1:$a10000")=汇总!$A82),COUNTIF(INDIRECT(Q$1&amp;"!$a1:$a10000"),汇总!$A82)),Q81)</f>
        <v/>
      </c>
      <c r="R82" s="563">
        <f t="array" ref="R82">IFERROR(INDEX(_xlfn._xlws.FILTER(INDIRECT(R$1&amp;"!$E1:$E10000"),INDIRECT(R$1&amp;"!$a1:$a10000")=汇总!$A82),COUNTIF(INDIRECT(R$1&amp;"!$a1:$a10000"),汇总!$A82)),R81)</f>
        <v/>
      </c>
      <c r="S82" s="563">
        <f t="array" ref="S82">IFERROR(INDEX(_xlfn._xlws.FILTER(INDIRECT(S$1&amp;"!$E1:$E10000"),INDIRECT(S$1&amp;"!$a1:$a10000")=汇总!$A82),COUNTIF(INDIRECT(S$1&amp;"!$a1:$a10000"),汇总!$A82)),S81)</f>
        <v/>
      </c>
    </row>
    <row r="83" hidden="1" s="326">
      <c r="A83" s="1">
        <f>+A82+1</f>
        <v/>
      </c>
      <c r="B83" s="563">
        <f t="array" ref="B83">IFERROR(INDEX(_xlfn._xlws.FILTER(INDIRECT(B$1&amp;"!$E1:$E10000"),INDIRECT(B$1&amp;"!$a1:$a10000")=汇总!$A83),COUNTIF(INDIRECT(B$1&amp;"!$a1:$a10000"),汇总!$A83)),B82)</f>
        <v/>
      </c>
      <c r="C83" s="563">
        <f t="array" ref="C83">IFERROR(INDEX(_xlfn._xlws.FILTER(INDIRECT(C$1&amp;"!$E1:$E10000"),INDIRECT(C$1&amp;"!$a1:$a10000")=汇总!$A83),COUNTIF(INDIRECT(C$1&amp;"!$a1:$a10000"),汇总!$A83)),C82)</f>
        <v/>
      </c>
      <c r="D83" s="563">
        <f t="array" ref="D83">IFERROR(INDEX(_xlfn._xlws.FILTER(INDIRECT(D$1&amp;"!$E1:$E10000"),INDIRECT(D$1&amp;"!$a1:$a10000")=汇总!$A83),COUNTIF(INDIRECT(D$1&amp;"!$a1:$a10000"),汇总!$A83)),D82)</f>
        <v/>
      </c>
      <c r="E83" s="563">
        <f t="array" ref="E83">IFERROR(INDEX(_xlfn._xlws.FILTER(INDIRECT(E$1&amp;"!$E1:$E10000"),INDIRECT(E$1&amp;"!$a1:$a10000")=汇总!$A83),COUNTIF(INDIRECT(E$1&amp;"!$a1:$a10000"),汇总!$A83)),E82)</f>
        <v/>
      </c>
      <c r="F83" s="563">
        <f t="array" ref="F83">IFERROR(INDEX(_xlfn._xlws.FILTER(INDIRECT(F$1&amp;"!$E1:$E10000"),INDIRECT(F$1&amp;"!$a1:$a10000")=汇总!$A83),COUNTIF(INDIRECT(F$1&amp;"!$a1:$a10000"),汇总!$A83)),F82)</f>
        <v/>
      </c>
      <c r="G83" s="563">
        <f t="array" ref="G83">IFERROR(INDEX(_xlfn._xlws.FILTER(INDIRECT(G$1&amp;"!$E1:$E10000"),INDIRECT(G$1&amp;"!$a1:$a10000")=汇总!$A83),COUNTIF(INDIRECT(G$1&amp;"!$a1:$a10000"),汇总!$A83)),G82)</f>
        <v/>
      </c>
      <c r="H83" s="563">
        <f t="array" ref="H83">IFERROR(INDEX(_xlfn._xlws.FILTER(INDIRECT(H$1&amp;"!$E1:$E10000"),INDIRECT(H$1&amp;"!$a1:$a10000")=汇总!$A83),COUNTIF(INDIRECT(H$1&amp;"!$a1:$a10000"),汇总!$A83)),H82)</f>
        <v/>
      </c>
      <c r="I83" s="563">
        <f t="array" ref="I83">IFERROR(INDEX(_xlfn._xlws.FILTER(INDIRECT(I$1&amp;"!$E1:$E10000"),INDIRECT(I$1&amp;"!$a1:$a10000")=汇总!$A83),COUNTIF(INDIRECT(I$1&amp;"!$a1:$a10000"),汇总!$A83)),I82)</f>
        <v/>
      </c>
      <c r="J83" s="563">
        <f t="array" ref="J83">IFERROR(INDEX(_xlfn._xlws.FILTER(INDIRECT(J$1&amp;"!$E1:$E10000"),INDIRECT(J$1&amp;"!$a1:$a10000")=汇总!$A83),COUNTIF(INDIRECT(J$1&amp;"!$a1:$a10000"),汇总!$A83)),J82)</f>
        <v/>
      </c>
      <c r="K83" s="563">
        <f t="array" ref="K83">IFERROR(INDEX(_xlfn._xlws.FILTER(INDIRECT(K$1&amp;"!$E1:$E10000"),INDIRECT(K$1&amp;"!$a1:$a10000")=汇总!$A83),COUNTIF(INDIRECT(K$1&amp;"!$a1:$a10000"),汇总!$A83)),K82)</f>
        <v/>
      </c>
      <c r="L83" s="563">
        <f t="array" ref="L83">IFERROR(INDEX(_xlfn._xlws.FILTER(INDIRECT(L$1&amp;"!$E1:$E10000"),INDIRECT(L$1&amp;"!$a1:$a10000")=汇总!$A83),COUNTIF(INDIRECT(L$1&amp;"!$a1:$a10000"),汇总!$A83)),L82)</f>
        <v/>
      </c>
      <c r="M83" s="563">
        <f t="array" ref="M83">IFERROR(INDEX(_xlfn._xlws.FILTER(INDIRECT(M$1&amp;"!$E1:$E10000"),INDIRECT(M$1&amp;"!$a1:$a10000")=汇总!$A83),COUNTIF(INDIRECT(M$1&amp;"!$a1:$a10000"),汇总!$A83)),M82)</f>
        <v/>
      </c>
      <c r="N83" s="563">
        <f t="array" ref="N83">IFERROR(INDEX(_xlfn._xlws.FILTER(INDIRECT(N$1&amp;"!$E1:$E10000"),INDIRECT(N$1&amp;"!$a1:$a10000")=汇总!$A83),COUNTIF(INDIRECT(N$1&amp;"!$a1:$a10000"),汇总!$A83)),N82)</f>
        <v/>
      </c>
      <c r="O83" s="563">
        <f t="array" ref="O83">IFERROR(INDEX(_xlfn._xlws.FILTER(INDIRECT(O$1&amp;"!$E1:$E10000"),INDIRECT(O$1&amp;"!$a1:$a10000")=汇总!$A83),COUNTIF(INDIRECT(O$1&amp;"!$a1:$a10000"),汇总!$A83)),O82)</f>
        <v/>
      </c>
      <c r="P83" s="563">
        <f t="array" ref="P83">IFERROR(INDEX(_xlfn._xlws.FILTER(INDIRECT(P$1&amp;"!$E1:$E10000"),INDIRECT(P$1&amp;"!$a1:$a10000")=汇总!$A83),COUNTIF(INDIRECT(P$1&amp;"!$a1:$a10000"),汇总!$A83)),P82)</f>
        <v/>
      </c>
      <c r="Q83" s="563">
        <f t="array" ref="Q83">IFERROR(INDEX(_xlfn._xlws.FILTER(INDIRECT(Q$1&amp;"!$E1:$E10000"),INDIRECT(Q$1&amp;"!$a1:$a10000")=汇总!$A83),COUNTIF(INDIRECT(Q$1&amp;"!$a1:$a10000"),汇总!$A83)),Q82)</f>
        <v/>
      </c>
      <c r="R83" s="563">
        <f t="array" ref="R83">IFERROR(INDEX(_xlfn._xlws.FILTER(INDIRECT(R$1&amp;"!$E1:$E10000"),INDIRECT(R$1&amp;"!$a1:$a10000")=汇总!$A83),COUNTIF(INDIRECT(R$1&amp;"!$a1:$a10000"),汇总!$A83)),R82)</f>
        <v/>
      </c>
      <c r="S83" s="563">
        <f t="array" ref="S83">IFERROR(INDEX(_xlfn._xlws.FILTER(INDIRECT(S$1&amp;"!$E1:$E10000"),INDIRECT(S$1&amp;"!$a1:$a10000")=汇总!$A83),COUNTIF(INDIRECT(S$1&amp;"!$a1:$a10000"),汇总!$A83)),S82)</f>
        <v/>
      </c>
    </row>
    <row r="84" hidden="1" s="326">
      <c r="A84" s="1">
        <f>+A83+1</f>
        <v/>
      </c>
      <c r="B84" s="563">
        <f t="array" ref="B84">IFERROR(INDEX(_xlfn._xlws.FILTER(INDIRECT(B$1&amp;"!$E1:$E10000"),INDIRECT(B$1&amp;"!$a1:$a10000")=汇总!$A84),COUNTIF(INDIRECT(B$1&amp;"!$a1:$a10000"),汇总!$A84)),B83)</f>
        <v/>
      </c>
      <c r="C84" s="563">
        <f t="array" ref="C84">IFERROR(INDEX(_xlfn._xlws.FILTER(INDIRECT(C$1&amp;"!$E1:$E10000"),INDIRECT(C$1&amp;"!$a1:$a10000")=汇总!$A84),COUNTIF(INDIRECT(C$1&amp;"!$a1:$a10000"),汇总!$A84)),C83)</f>
        <v/>
      </c>
      <c r="D84" s="563">
        <f t="array" ref="D84">IFERROR(INDEX(_xlfn._xlws.FILTER(INDIRECT(D$1&amp;"!$E1:$E10000"),INDIRECT(D$1&amp;"!$a1:$a10000")=汇总!$A84),COUNTIF(INDIRECT(D$1&amp;"!$a1:$a10000"),汇总!$A84)),D83)</f>
        <v/>
      </c>
      <c r="E84" s="563">
        <f t="array" ref="E84">IFERROR(INDEX(_xlfn._xlws.FILTER(INDIRECT(E$1&amp;"!$E1:$E10000"),INDIRECT(E$1&amp;"!$a1:$a10000")=汇总!$A84),COUNTIF(INDIRECT(E$1&amp;"!$a1:$a10000"),汇总!$A84)),E83)</f>
        <v/>
      </c>
      <c r="F84" s="563">
        <f t="array" ref="F84">IFERROR(INDEX(_xlfn._xlws.FILTER(INDIRECT(F$1&amp;"!$E1:$E10000"),INDIRECT(F$1&amp;"!$a1:$a10000")=汇总!$A84),COUNTIF(INDIRECT(F$1&amp;"!$a1:$a10000"),汇总!$A84)),F83)</f>
        <v/>
      </c>
      <c r="G84" s="563">
        <f t="array" ref="G84">IFERROR(INDEX(_xlfn._xlws.FILTER(INDIRECT(G$1&amp;"!$E1:$E10000"),INDIRECT(G$1&amp;"!$a1:$a10000")=汇总!$A84),COUNTIF(INDIRECT(G$1&amp;"!$a1:$a10000"),汇总!$A84)),G83)</f>
        <v/>
      </c>
      <c r="H84" s="563">
        <f t="array" ref="H84">IFERROR(INDEX(_xlfn._xlws.FILTER(INDIRECT(H$1&amp;"!$E1:$E10000"),INDIRECT(H$1&amp;"!$a1:$a10000")=汇总!$A84),COUNTIF(INDIRECT(H$1&amp;"!$a1:$a10000"),汇总!$A84)),H83)</f>
        <v/>
      </c>
      <c r="I84" s="563">
        <f t="array" ref="I84">IFERROR(INDEX(_xlfn._xlws.FILTER(INDIRECT(I$1&amp;"!$E1:$E10000"),INDIRECT(I$1&amp;"!$a1:$a10000")=汇总!$A84),COUNTIF(INDIRECT(I$1&amp;"!$a1:$a10000"),汇总!$A84)),I83)</f>
        <v/>
      </c>
      <c r="J84" s="563">
        <f t="array" ref="J84">IFERROR(INDEX(_xlfn._xlws.FILTER(INDIRECT(J$1&amp;"!$E1:$E10000"),INDIRECT(J$1&amp;"!$a1:$a10000")=汇总!$A84),COUNTIF(INDIRECT(J$1&amp;"!$a1:$a10000"),汇总!$A84)),J83)</f>
        <v/>
      </c>
      <c r="K84" s="563">
        <f t="array" ref="K84">IFERROR(INDEX(_xlfn._xlws.FILTER(INDIRECT(K$1&amp;"!$E1:$E10000"),INDIRECT(K$1&amp;"!$a1:$a10000")=汇总!$A84),COUNTIF(INDIRECT(K$1&amp;"!$a1:$a10000"),汇总!$A84)),K83)</f>
        <v/>
      </c>
      <c r="L84" s="563">
        <f t="array" ref="L84">IFERROR(INDEX(_xlfn._xlws.FILTER(INDIRECT(L$1&amp;"!$E1:$E10000"),INDIRECT(L$1&amp;"!$a1:$a10000")=汇总!$A84),COUNTIF(INDIRECT(L$1&amp;"!$a1:$a10000"),汇总!$A84)),L83)</f>
        <v/>
      </c>
      <c r="M84" s="563">
        <f t="array" ref="M84">IFERROR(INDEX(_xlfn._xlws.FILTER(INDIRECT(M$1&amp;"!$E1:$E10000"),INDIRECT(M$1&amp;"!$a1:$a10000")=汇总!$A84),COUNTIF(INDIRECT(M$1&amp;"!$a1:$a10000"),汇总!$A84)),M83)</f>
        <v/>
      </c>
      <c r="N84" s="563">
        <f t="array" ref="N84">IFERROR(INDEX(_xlfn._xlws.FILTER(INDIRECT(N$1&amp;"!$E1:$E10000"),INDIRECT(N$1&amp;"!$a1:$a10000")=汇总!$A84),COUNTIF(INDIRECT(N$1&amp;"!$a1:$a10000"),汇总!$A84)),N83)</f>
        <v/>
      </c>
      <c r="O84" s="563">
        <f t="array" ref="O84">IFERROR(INDEX(_xlfn._xlws.FILTER(INDIRECT(O$1&amp;"!$E1:$E10000"),INDIRECT(O$1&amp;"!$a1:$a10000")=汇总!$A84),COUNTIF(INDIRECT(O$1&amp;"!$a1:$a10000"),汇总!$A84)),O83)</f>
        <v/>
      </c>
      <c r="P84" s="563">
        <f t="array" ref="P84">IFERROR(INDEX(_xlfn._xlws.FILTER(INDIRECT(P$1&amp;"!$E1:$E10000"),INDIRECT(P$1&amp;"!$a1:$a10000")=汇总!$A84),COUNTIF(INDIRECT(P$1&amp;"!$a1:$a10000"),汇总!$A84)),P83)</f>
        <v/>
      </c>
      <c r="Q84" s="563">
        <f t="array" ref="Q84">IFERROR(INDEX(_xlfn._xlws.FILTER(INDIRECT(Q$1&amp;"!$E1:$E10000"),INDIRECT(Q$1&amp;"!$a1:$a10000")=汇总!$A84),COUNTIF(INDIRECT(Q$1&amp;"!$a1:$a10000"),汇总!$A84)),Q83)</f>
        <v/>
      </c>
      <c r="R84" s="563">
        <f t="array" ref="R84">IFERROR(INDEX(_xlfn._xlws.FILTER(INDIRECT(R$1&amp;"!$E1:$E10000"),INDIRECT(R$1&amp;"!$a1:$a10000")=汇总!$A84),COUNTIF(INDIRECT(R$1&amp;"!$a1:$a10000"),汇总!$A84)),R83)</f>
        <v/>
      </c>
      <c r="S84" s="563">
        <f t="array" ref="S84">IFERROR(INDEX(_xlfn._xlws.FILTER(INDIRECT(S$1&amp;"!$E1:$E10000"),INDIRECT(S$1&amp;"!$a1:$a10000")=汇总!$A84),COUNTIF(INDIRECT(S$1&amp;"!$a1:$a10000"),汇总!$A84)),S83)</f>
        <v/>
      </c>
    </row>
    <row r="85" hidden="1" s="326">
      <c r="A85" s="1">
        <f>+A84+1</f>
        <v/>
      </c>
      <c r="B85" s="563">
        <f t="array" ref="B85">IFERROR(INDEX(_xlfn._xlws.FILTER(INDIRECT(B$1&amp;"!$E1:$E10000"),INDIRECT(B$1&amp;"!$a1:$a10000")=汇总!$A85),COUNTIF(INDIRECT(B$1&amp;"!$a1:$a10000"),汇总!$A85)),B84)</f>
        <v/>
      </c>
      <c r="C85" s="563">
        <f t="array" ref="C85">IFERROR(INDEX(_xlfn._xlws.FILTER(INDIRECT(C$1&amp;"!$E1:$E10000"),INDIRECT(C$1&amp;"!$a1:$a10000")=汇总!$A85),COUNTIF(INDIRECT(C$1&amp;"!$a1:$a10000"),汇总!$A85)),C84)</f>
        <v/>
      </c>
      <c r="D85" s="563">
        <f t="array" ref="D85">IFERROR(INDEX(_xlfn._xlws.FILTER(INDIRECT(D$1&amp;"!$E1:$E10000"),INDIRECT(D$1&amp;"!$a1:$a10000")=汇总!$A85),COUNTIF(INDIRECT(D$1&amp;"!$a1:$a10000"),汇总!$A85)),D84)</f>
        <v/>
      </c>
      <c r="E85" s="563">
        <f t="array" ref="E85">IFERROR(INDEX(_xlfn._xlws.FILTER(INDIRECT(E$1&amp;"!$E1:$E10000"),INDIRECT(E$1&amp;"!$a1:$a10000")=汇总!$A85),COUNTIF(INDIRECT(E$1&amp;"!$a1:$a10000"),汇总!$A85)),E84)</f>
        <v/>
      </c>
      <c r="F85" s="563">
        <f t="array" ref="F85">IFERROR(INDEX(_xlfn._xlws.FILTER(INDIRECT(F$1&amp;"!$E1:$E10000"),INDIRECT(F$1&amp;"!$a1:$a10000")=汇总!$A85),COUNTIF(INDIRECT(F$1&amp;"!$a1:$a10000"),汇总!$A85)),F84)</f>
        <v/>
      </c>
      <c r="G85" s="563">
        <f t="array" ref="G85">IFERROR(INDEX(_xlfn._xlws.FILTER(INDIRECT(G$1&amp;"!$E1:$E10000"),INDIRECT(G$1&amp;"!$a1:$a10000")=汇总!$A85),COUNTIF(INDIRECT(G$1&amp;"!$a1:$a10000"),汇总!$A85)),G84)</f>
        <v/>
      </c>
      <c r="H85" s="563">
        <f t="array" ref="H85">IFERROR(INDEX(_xlfn._xlws.FILTER(INDIRECT(H$1&amp;"!$E1:$E10000"),INDIRECT(H$1&amp;"!$a1:$a10000")=汇总!$A85),COUNTIF(INDIRECT(H$1&amp;"!$a1:$a10000"),汇总!$A85)),H84)</f>
        <v/>
      </c>
      <c r="I85" s="563">
        <f t="array" ref="I85">IFERROR(INDEX(_xlfn._xlws.FILTER(INDIRECT(I$1&amp;"!$E1:$E10000"),INDIRECT(I$1&amp;"!$a1:$a10000")=汇总!$A85),COUNTIF(INDIRECT(I$1&amp;"!$a1:$a10000"),汇总!$A85)),I84)</f>
        <v/>
      </c>
      <c r="J85" s="563">
        <f t="array" ref="J85">IFERROR(INDEX(_xlfn._xlws.FILTER(INDIRECT(J$1&amp;"!$E1:$E10000"),INDIRECT(J$1&amp;"!$a1:$a10000")=汇总!$A85),COUNTIF(INDIRECT(J$1&amp;"!$a1:$a10000"),汇总!$A85)),J84)</f>
        <v/>
      </c>
      <c r="K85" s="563">
        <f t="array" ref="K85">IFERROR(INDEX(_xlfn._xlws.FILTER(INDIRECT(K$1&amp;"!$E1:$E10000"),INDIRECT(K$1&amp;"!$a1:$a10000")=汇总!$A85),COUNTIF(INDIRECT(K$1&amp;"!$a1:$a10000"),汇总!$A85)),K84)</f>
        <v/>
      </c>
      <c r="L85" s="563">
        <f t="array" ref="L85">IFERROR(INDEX(_xlfn._xlws.FILTER(INDIRECT(L$1&amp;"!$E1:$E10000"),INDIRECT(L$1&amp;"!$a1:$a10000")=汇总!$A85),COUNTIF(INDIRECT(L$1&amp;"!$a1:$a10000"),汇总!$A85)),L84)</f>
        <v/>
      </c>
      <c r="M85" s="563">
        <f t="array" ref="M85">IFERROR(INDEX(_xlfn._xlws.FILTER(INDIRECT(M$1&amp;"!$E1:$E10000"),INDIRECT(M$1&amp;"!$a1:$a10000")=汇总!$A85),COUNTIF(INDIRECT(M$1&amp;"!$a1:$a10000"),汇总!$A85)),M84)</f>
        <v/>
      </c>
      <c r="N85" s="563">
        <f t="array" ref="N85">IFERROR(INDEX(_xlfn._xlws.FILTER(INDIRECT(N$1&amp;"!$E1:$E10000"),INDIRECT(N$1&amp;"!$a1:$a10000")=汇总!$A85),COUNTIF(INDIRECT(N$1&amp;"!$a1:$a10000"),汇总!$A85)),N84)</f>
        <v/>
      </c>
      <c r="O85" s="563">
        <f t="array" ref="O85">IFERROR(INDEX(_xlfn._xlws.FILTER(INDIRECT(O$1&amp;"!$E1:$E10000"),INDIRECT(O$1&amp;"!$a1:$a10000")=汇总!$A85),COUNTIF(INDIRECT(O$1&amp;"!$a1:$a10000"),汇总!$A85)),O84)</f>
        <v/>
      </c>
      <c r="P85" s="563">
        <f t="array" ref="P85">IFERROR(INDEX(_xlfn._xlws.FILTER(INDIRECT(P$1&amp;"!$E1:$E10000"),INDIRECT(P$1&amp;"!$a1:$a10000")=汇总!$A85),COUNTIF(INDIRECT(P$1&amp;"!$a1:$a10000"),汇总!$A85)),P84)</f>
        <v/>
      </c>
      <c r="Q85" s="563">
        <f t="array" ref="Q85">IFERROR(INDEX(_xlfn._xlws.FILTER(INDIRECT(Q$1&amp;"!$E1:$E10000"),INDIRECT(Q$1&amp;"!$a1:$a10000")=汇总!$A85),COUNTIF(INDIRECT(Q$1&amp;"!$a1:$a10000"),汇总!$A85)),Q84)</f>
        <v/>
      </c>
      <c r="R85" s="563">
        <f t="array" ref="R85">IFERROR(INDEX(_xlfn._xlws.FILTER(INDIRECT(R$1&amp;"!$E1:$E10000"),INDIRECT(R$1&amp;"!$a1:$a10000")=汇总!$A85),COUNTIF(INDIRECT(R$1&amp;"!$a1:$a10000"),汇总!$A85)),R84)</f>
        <v/>
      </c>
      <c r="S85" s="563">
        <f t="array" ref="S85">IFERROR(INDEX(_xlfn._xlws.FILTER(INDIRECT(S$1&amp;"!$E1:$E10000"),INDIRECT(S$1&amp;"!$a1:$a10000")=汇总!$A85),COUNTIF(INDIRECT(S$1&amp;"!$a1:$a10000"),汇总!$A85)),S84)</f>
        <v/>
      </c>
    </row>
    <row r="86" hidden="1" s="326">
      <c r="A86" s="1">
        <f>+A85+1</f>
        <v/>
      </c>
      <c r="B86" s="563">
        <f t="array" ref="B86">IFERROR(INDEX(_xlfn._xlws.FILTER(INDIRECT(B$1&amp;"!$E1:$E10000"),INDIRECT(B$1&amp;"!$a1:$a10000")=汇总!$A86),COUNTIF(INDIRECT(B$1&amp;"!$a1:$a10000"),汇总!$A86)),B85)</f>
        <v/>
      </c>
      <c r="C86" s="563">
        <f t="array" ref="C86">IFERROR(INDEX(_xlfn._xlws.FILTER(INDIRECT(C$1&amp;"!$E1:$E10000"),INDIRECT(C$1&amp;"!$a1:$a10000")=汇总!$A86),COUNTIF(INDIRECT(C$1&amp;"!$a1:$a10000"),汇总!$A86)),C85)</f>
        <v/>
      </c>
      <c r="D86" s="563">
        <f t="array" ref="D86">IFERROR(INDEX(_xlfn._xlws.FILTER(INDIRECT(D$1&amp;"!$E1:$E10000"),INDIRECT(D$1&amp;"!$a1:$a10000")=汇总!$A86),COUNTIF(INDIRECT(D$1&amp;"!$a1:$a10000"),汇总!$A86)),D85)</f>
        <v/>
      </c>
      <c r="E86" s="563">
        <f t="array" ref="E86">IFERROR(INDEX(_xlfn._xlws.FILTER(INDIRECT(E$1&amp;"!$E1:$E10000"),INDIRECT(E$1&amp;"!$a1:$a10000")=汇总!$A86),COUNTIF(INDIRECT(E$1&amp;"!$a1:$a10000"),汇总!$A86)),E85)</f>
        <v/>
      </c>
      <c r="F86" s="563">
        <f t="array" ref="F86">IFERROR(INDEX(_xlfn._xlws.FILTER(INDIRECT(F$1&amp;"!$E1:$E10000"),INDIRECT(F$1&amp;"!$a1:$a10000")=汇总!$A86),COUNTIF(INDIRECT(F$1&amp;"!$a1:$a10000"),汇总!$A86)),F85)</f>
        <v/>
      </c>
      <c r="G86" s="563">
        <f t="array" ref="G86">IFERROR(INDEX(_xlfn._xlws.FILTER(INDIRECT(G$1&amp;"!$E1:$E10000"),INDIRECT(G$1&amp;"!$a1:$a10000")=汇总!$A86),COUNTIF(INDIRECT(G$1&amp;"!$a1:$a10000"),汇总!$A86)),G85)</f>
        <v/>
      </c>
      <c r="H86" s="563">
        <f t="array" ref="H86">IFERROR(INDEX(_xlfn._xlws.FILTER(INDIRECT(H$1&amp;"!$E1:$E10000"),INDIRECT(H$1&amp;"!$a1:$a10000")=汇总!$A86),COUNTIF(INDIRECT(H$1&amp;"!$a1:$a10000"),汇总!$A86)),H85)</f>
        <v/>
      </c>
      <c r="I86" s="563">
        <f t="array" ref="I86">IFERROR(INDEX(_xlfn._xlws.FILTER(INDIRECT(I$1&amp;"!$E1:$E10000"),INDIRECT(I$1&amp;"!$a1:$a10000")=汇总!$A86),COUNTIF(INDIRECT(I$1&amp;"!$a1:$a10000"),汇总!$A86)),I85)</f>
        <v/>
      </c>
      <c r="J86" s="563">
        <f t="array" ref="J86">IFERROR(INDEX(_xlfn._xlws.FILTER(INDIRECT(J$1&amp;"!$E1:$E10000"),INDIRECT(J$1&amp;"!$a1:$a10000")=汇总!$A86),COUNTIF(INDIRECT(J$1&amp;"!$a1:$a10000"),汇总!$A86)),J85)</f>
        <v/>
      </c>
      <c r="K86" s="563">
        <f t="array" ref="K86">IFERROR(INDEX(_xlfn._xlws.FILTER(INDIRECT(K$1&amp;"!$E1:$E10000"),INDIRECT(K$1&amp;"!$a1:$a10000")=汇总!$A86),COUNTIF(INDIRECT(K$1&amp;"!$a1:$a10000"),汇总!$A86)),K85)</f>
        <v/>
      </c>
      <c r="L86" s="563">
        <f t="array" ref="L86">IFERROR(INDEX(_xlfn._xlws.FILTER(INDIRECT(L$1&amp;"!$E1:$E10000"),INDIRECT(L$1&amp;"!$a1:$a10000")=汇总!$A86),COUNTIF(INDIRECT(L$1&amp;"!$a1:$a10000"),汇总!$A86)),L85)</f>
        <v/>
      </c>
      <c r="M86" s="563">
        <f t="array" ref="M86">IFERROR(INDEX(_xlfn._xlws.FILTER(INDIRECT(M$1&amp;"!$E1:$E10000"),INDIRECT(M$1&amp;"!$a1:$a10000")=汇总!$A86),COUNTIF(INDIRECT(M$1&amp;"!$a1:$a10000"),汇总!$A86)),M85)</f>
        <v/>
      </c>
      <c r="N86" s="563">
        <f t="array" ref="N86">IFERROR(INDEX(_xlfn._xlws.FILTER(INDIRECT(N$1&amp;"!$E1:$E10000"),INDIRECT(N$1&amp;"!$a1:$a10000")=汇总!$A86),COUNTIF(INDIRECT(N$1&amp;"!$a1:$a10000"),汇总!$A86)),N85)</f>
        <v/>
      </c>
      <c r="O86" s="563">
        <f t="array" ref="O86">IFERROR(INDEX(_xlfn._xlws.FILTER(INDIRECT(O$1&amp;"!$E1:$E10000"),INDIRECT(O$1&amp;"!$a1:$a10000")=汇总!$A86),COUNTIF(INDIRECT(O$1&amp;"!$a1:$a10000"),汇总!$A86)),O85)</f>
        <v/>
      </c>
      <c r="P86" s="563">
        <f t="array" ref="P86">IFERROR(INDEX(_xlfn._xlws.FILTER(INDIRECT(P$1&amp;"!$E1:$E10000"),INDIRECT(P$1&amp;"!$a1:$a10000")=汇总!$A86),COUNTIF(INDIRECT(P$1&amp;"!$a1:$a10000"),汇总!$A86)),P85)</f>
        <v/>
      </c>
      <c r="Q86" s="563">
        <f t="array" ref="Q86">IFERROR(INDEX(_xlfn._xlws.FILTER(INDIRECT(Q$1&amp;"!$E1:$E10000"),INDIRECT(Q$1&amp;"!$a1:$a10000")=汇总!$A86),COUNTIF(INDIRECT(Q$1&amp;"!$a1:$a10000"),汇总!$A86)),Q85)</f>
        <v/>
      </c>
      <c r="R86" s="563">
        <f t="array" ref="R86">IFERROR(INDEX(_xlfn._xlws.FILTER(INDIRECT(R$1&amp;"!$E1:$E10000"),INDIRECT(R$1&amp;"!$a1:$a10000")=汇总!$A86),COUNTIF(INDIRECT(R$1&amp;"!$a1:$a10000"),汇总!$A86)),R85)</f>
        <v/>
      </c>
      <c r="S86" s="563">
        <f t="array" ref="S86">IFERROR(INDEX(_xlfn._xlws.FILTER(INDIRECT(S$1&amp;"!$E1:$E10000"),INDIRECT(S$1&amp;"!$a1:$a10000")=汇总!$A86),COUNTIF(INDIRECT(S$1&amp;"!$a1:$a10000"),汇总!$A86)),S85)</f>
        <v/>
      </c>
    </row>
    <row r="87" hidden="1" s="326">
      <c r="A87" s="1">
        <f>+A86+1</f>
        <v/>
      </c>
      <c r="B87" s="563">
        <f t="array" ref="B87">IFERROR(INDEX(_xlfn._xlws.FILTER(INDIRECT(B$1&amp;"!$E1:$E10000"),INDIRECT(B$1&amp;"!$a1:$a10000")=汇总!$A87),COUNTIF(INDIRECT(B$1&amp;"!$a1:$a10000"),汇总!$A87)),B86)</f>
        <v/>
      </c>
      <c r="C87" s="563">
        <f t="array" ref="C87">IFERROR(INDEX(_xlfn._xlws.FILTER(INDIRECT(C$1&amp;"!$E1:$E10000"),INDIRECT(C$1&amp;"!$a1:$a10000")=汇总!$A87),COUNTIF(INDIRECT(C$1&amp;"!$a1:$a10000"),汇总!$A87)),C86)</f>
        <v/>
      </c>
      <c r="D87" s="563">
        <f t="array" ref="D87">IFERROR(INDEX(_xlfn._xlws.FILTER(INDIRECT(D$1&amp;"!$E1:$E10000"),INDIRECT(D$1&amp;"!$a1:$a10000")=汇总!$A87),COUNTIF(INDIRECT(D$1&amp;"!$a1:$a10000"),汇总!$A87)),D86)</f>
        <v/>
      </c>
      <c r="E87" s="563">
        <f t="array" ref="E87">IFERROR(INDEX(_xlfn._xlws.FILTER(INDIRECT(E$1&amp;"!$E1:$E10000"),INDIRECT(E$1&amp;"!$a1:$a10000")=汇总!$A87),COUNTIF(INDIRECT(E$1&amp;"!$a1:$a10000"),汇总!$A87)),E86)</f>
        <v/>
      </c>
      <c r="F87" s="563">
        <f t="array" ref="F87">IFERROR(INDEX(_xlfn._xlws.FILTER(INDIRECT(F$1&amp;"!$E1:$E10000"),INDIRECT(F$1&amp;"!$a1:$a10000")=汇总!$A87),COUNTIF(INDIRECT(F$1&amp;"!$a1:$a10000"),汇总!$A87)),F86)</f>
        <v/>
      </c>
      <c r="G87" s="563">
        <f t="array" ref="G87">IFERROR(INDEX(_xlfn._xlws.FILTER(INDIRECT(G$1&amp;"!$E1:$E10000"),INDIRECT(G$1&amp;"!$a1:$a10000")=汇总!$A87),COUNTIF(INDIRECT(G$1&amp;"!$a1:$a10000"),汇总!$A87)),G86)</f>
        <v/>
      </c>
      <c r="H87" s="563">
        <f t="array" ref="H87">IFERROR(INDEX(_xlfn._xlws.FILTER(INDIRECT(H$1&amp;"!$E1:$E10000"),INDIRECT(H$1&amp;"!$a1:$a10000")=汇总!$A87),COUNTIF(INDIRECT(H$1&amp;"!$a1:$a10000"),汇总!$A87)),H86)</f>
        <v/>
      </c>
      <c r="I87" s="563">
        <f t="array" ref="I87">IFERROR(INDEX(_xlfn._xlws.FILTER(INDIRECT(I$1&amp;"!$E1:$E10000"),INDIRECT(I$1&amp;"!$a1:$a10000")=汇总!$A87),COUNTIF(INDIRECT(I$1&amp;"!$a1:$a10000"),汇总!$A87)),I86)</f>
        <v/>
      </c>
      <c r="J87" s="563">
        <f t="array" ref="J87">IFERROR(INDEX(_xlfn._xlws.FILTER(INDIRECT(J$1&amp;"!$E1:$E10000"),INDIRECT(J$1&amp;"!$a1:$a10000")=汇总!$A87),COUNTIF(INDIRECT(J$1&amp;"!$a1:$a10000"),汇总!$A87)),J86)</f>
        <v/>
      </c>
      <c r="K87" s="563">
        <f t="array" ref="K87">IFERROR(INDEX(_xlfn._xlws.FILTER(INDIRECT(K$1&amp;"!$E1:$E10000"),INDIRECT(K$1&amp;"!$a1:$a10000")=汇总!$A87),COUNTIF(INDIRECT(K$1&amp;"!$a1:$a10000"),汇总!$A87)),K86)</f>
        <v/>
      </c>
      <c r="L87" s="563">
        <f t="array" ref="L87">IFERROR(INDEX(_xlfn._xlws.FILTER(INDIRECT(L$1&amp;"!$E1:$E10000"),INDIRECT(L$1&amp;"!$a1:$a10000")=汇总!$A87),COUNTIF(INDIRECT(L$1&amp;"!$a1:$a10000"),汇总!$A87)),L86)</f>
        <v/>
      </c>
      <c r="M87" s="563">
        <f t="array" ref="M87">IFERROR(INDEX(_xlfn._xlws.FILTER(INDIRECT(M$1&amp;"!$E1:$E10000"),INDIRECT(M$1&amp;"!$a1:$a10000")=汇总!$A87),COUNTIF(INDIRECT(M$1&amp;"!$a1:$a10000"),汇总!$A87)),M86)</f>
        <v/>
      </c>
      <c r="N87" s="563">
        <f t="array" ref="N87">IFERROR(INDEX(_xlfn._xlws.FILTER(INDIRECT(N$1&amp;"!$E1:$E10000"),INDIRECT(N$1&amp;"!$a1:$a10000")=汇总!$A87),COUNTIF(INDIRECT(N$1&amp;"!$a1:$a10000"),汇总!$A87)),N86)</f>
        <v/>
      </c>
      <c r="O87" s="563">
        <f t="array" ref="O87">IFERROR(INDEX(_xlfn._xlws.FILTER(INDIRECT(O$1&amp;"!$E1:$E10000"),INDIRECT(O$1&amp;"!$a1:$a10000")=汇总!$A87),COUNTIF(INDIRECT(O$1&amp;"!$a1:$a10000"),汇总!$A87)),O86)</f>
        <v/>
      </c>
      <c r="P87" s="563">
        <f t="array" ref="P87">IFERROR(INDEX(_xlfn._xlws.FILTER(INDIRECT(P$1&amp;"!$E1:$E10000"),INDIRECT(P$1&amp;"!$a1:$a10000")=汇总!$A87),COUNTIF(INDIRECT(P$1&amp;"!$a1:$a10000"),汇总!$A87)),P86)</f>
        <v/>
      </c>
      <c r="Q87" s="563">
        <f t="array" ref="Q87">IFERROR(INDEX(_xlfn._xlws.FILTER(INDIRECT(Q$1&amp;"!$E1:$E10000"),INDIRECT(Q$1&amp;"!$a1:$a10000")=汇总!$A87),COUNTIF(INDIRECT(Q$1&amp;"!$a1:$a10000"),汇总!$A87)),Q86)</f>
        <v/>
      </c>
      <c r="R87" s="563">
        <f t="array" ref="R87">IFERROR(INDEX(_xlfn._xlws.FILTER(INDIRECT(R$1&amp;"!$E1:$E10000"),INDIRECT(R$1&amp;"!$a1:$a10000")=汇总!$A87),COUNTIF(INDIRECT(R$1&amp;"!$a1:$a10000"),汇总!$A87)),R86)</f>
        <v/>
      </c>
      <c r="S87" s="563">
        <f t="array" ref="S87">IFERROR(INDEX(_xlfn._xlws.FILTER(INDIRECT(S$1&amp;"!$E1:$E10000"),INDIRECT(S$1&amp;"!$a1:$a10000")=汇总!$A87),COUNTIF(INDIRECT(S$1&amp;"!$a1:$a10000"),汇总!$A87)),S86)</f>
        <v/>
      </c>
    </row>
    <row r="88" hidden="1" s="326">
      <c r="A88" s="1">
        <f>+A87+1</f>
        <v/>
      </c>
      <c r="B88" s="563">
        <f t="array" ref="B88">IFERROR(INDEX(_xlfn._xlws.FILTER(INDIRECT(B$1&amp;"!$E1:$E10000"),INDIRECT(B$1&amp;"!$a1:$a10000")=汇总!$A88),COUNTIF(INDIRECT(B$1&amp;"!$a1:$a10000"),汇总!$A88)),B87)</f>
        <v/>
      </c>
      <c r="C88" s="563">
        <f t="array" ref="C88">IFERROR(INDEX(_xlfn._xlws.FILTER(INDIRECT(C$1&amp;"!$E1:$E10000"),INDIRECT(C$1&amp;"!$a1:$a10000")=汇总!$A88),COUNTIF(INDIRECT(C$1&amp;"!$a1:$a10000"),汇总!$A88)),C87)</f>
        <v/>
      </c>
      <c r="D88" s="563">
        <f t="array" ref="D88">IFERROR(INDEX(_xlfn._xlws.FILTER(INDIRECT(D$1&amp;"!$E1:$E10000"),INDIRECT(D$1&amp;"!$a1:$a10000")=汇总!$A88),COUNTIF(INDIRECT(D$1&amp;"!$a1:$a10000"),汇总!$A88)),D87)</f>
        <v/>
      </c>
      <c r="E88" s="563">
        <f t="array" ref="E88">IFERROR(INDEX(_xlfn._xlws.FILTER(INDIRECT(E$1&amp;"!$E1:$E10000"),INDIRECT(E$1&amp;"!$a1:$a10000")=汇总!$A88),COUNTIF(INDIRECT(E$1&amp;"!$a1:$a10000"),汇总!$A88)),E87)</f>
        <v/>
      </c>
      <c r="F88" s="563">
        <f t="array" ref="F88">IFERROR(INDEX(_xlfn._xlws.FILTER(INDIRECT(F$1&amp;"!$E1:$E10000"),INDIRECT(F$1&amp;"!$a1:$a10000")=汇总!$A88),COUNTIF(INDIRECT(F$1&amp;"!$a1:$a10000"),汇总!$A88)),F87)</f>
        <v/>
      </c>
      <c r="G88" s="563">
        <f t="array" ref="G88">IFERROR(INDEX(_xlfn._xlws.FILTER(INDIRECT(G$1&amp;"!$E1:$E10000"),INDIRECT(G$1&amp;"!$a1:$a10000")=汇总!$A88),COUNTIF(INDIRECT(G$1&amp;"!$a1:$a10000"),汇总!$A88)),G87)</f>
        <v/>
      </c>
      <c r="H88" s="563">
        <f t="array" ref="H88">IFERROR(INDEX(_xlfn._xlws.FILTER(INDIRECT(H$1&amp;"!$E1:$E10000"),INDIRECT(H$1&amp;"!$a1:$a10000")=汇总!$A88),COUNTIF(INDIRECT(H$1&amp;"!$a1:$a10000"),汇总!$A88)),H87)</f>
        <v/>
      </c>
      <c r="I88" s="563">
        <f t="array" ref="I88">IFERROR(INDEX(_xlfn._xlws.FILTER(INDIRECT(I$1&amp;"!$E1:$E10000"),INDIRECT(I$1&amp;"!$a1:$a10000")=汇总!$A88),COUNTIF(INDIRECT(I$1&amp;"!$a1:$a10000"),汇总!$A88)),I87)</f>
        <v/>
      </c>
      <c r="J88" s="563">
        <f t="array" ref="J88">IFERROR(INDEX(_xlfn._xlws.FILTER(INDIRECT(J$1&amp;"!$E1:$E10000"),INDIRECT(J$1&amp;"!$a1:$a10000")=汇总!$A88),COUNTIF(INDIRECT(J$1&amp;"!$a1:$a10000"),汇总!$A88)),J87)</f>
        <v/>
      </c>
      <c r="K88" s="563">
        <f t="array" ref="K88">IFERROR(INDEX(_xlfn._xlws.FILTER(INDIRECT(K$1&amp;"!$E1:$E10000"),INDIRECT(K$1&amp;"!$a1:$a10000")=汇总!$A88),COUNTIF(INDIRECT(K$1&amp;"!$a1:$a10000"),汇总!$A88)),K87)</f>
        <v/>
      </c>
      <c r="L88" s="563">
        <f t="array" ref="L88">IFERROR(INDEX(_xlfn._xlws.FILTER(INDIRECT(L$1&amp;"!$E1:$E10000"),INDIRECT(L$1&amp;"!$a1:$a10000")=汇总!$A88),COUNTIF(INDIRECT(L$1&amp;"!$a1:$a10000"),汇总!$A88)),L87)</f>
        <v/>
      </c>
      <c r="M88" s="563">
        <f t="array" ref="M88">IFERROR(INDEX(_xlfn._xlws.FILTER(INDIRECT(M$1&amp;"!$E1:$E10000"),INDIRECT(M$1&amp;"!$a1:$a10000")=汇总!$A88),COUNTIF(INDIRECT(M$1&amp;"!$a1:$a10000"),汇总!$A88)),M87)</f>
        <v/>
      </c>
      <c r="N88" s="563">
        <f t="array" ref="N88">IFERROR(INDEX(_xlfn._xlws.FILTER(INDIRECT(N$1&amp;"!$E1:$E10000"),INDIRECT(N$1&amp;"!$a1:$a10000")=汇总!$A88),COUNTIF(INDIRECT(N$1&amp;"!$a1:$a10000"),汇总!$A88)),N87)</f>
        <v/>
      </c>
      <c r="O88" s="563">
        <f t="array" ref="O88">IFERROR(INDEX(_xlfn._xlws.FILTER(INDIRECT(O$1&amp;"!$E1:$E10000"),INDIRECT(O$1&amp;"!$a1:$a10000")=汇总!$A88),COUNTIF(INDIRECT(O$1&amp;"!$a1:$a10000"),汇总!$A88)),O87)</f>
        <v/>
      </c>
      <c r="P88" s="563">
        <f t="array" ref="P88">IFERROR(INDEX(_xlfn._xlws.FILTER(INDIRECT(P$1&amp;"!$E1:$E10000"),INDIRECT(P$1&amp;"!$a1:$a10000")=汇总!$A88),COUNTIF(INDIRECT(P$1&amp;"!$a1:$a10000"),汇总!$A88)),P87)</f>
        <v/>
      </c>
      <c r="Q88" s="563">
        <f t="array" ref="Q88">IFERROR(INDEX(_xlfn._xlws.FILTER(INDIRECT(Q$1&amp;"!$E1:$E10000"),INDIRECT(Q$1&amp;"!$a1:$a10000")=汇总!$A88),COUNTIF(INDIRECT(Q$1&amp;"!$a1:$a10000"),汇总!$A88)),Q87)</f>
        <v/>
      </c>
      <c r="R88" s="563">
        <f t="array" ref="R88">IFERROR(INDEX(_xlfn._xlws.FILTER(INDIRECT(R$1&amp;"!$E1:$E10000"),INDIRECT(R$1&amp;"!$a1:$a10000")=汇总!$A88),COUNTIF(INDIRECT(R$1&amp;"!$a1:$a10000"),汇总!$A88)),R87)</f>
        <v/>
      </c>
      <c r="S88" s="563">
        <f t="array" ref="S88">IFERROR(INDEX(_xlfn._xlws.FILTER(INDIRECT(S$1&amp;"!$E1:$E10000"),INDIRECT(S$1&amp;"!$a1:$a10000")=汇总!$A88),COUNTIF(INDIRECT(S$1&amp;"!$a1:$a10000"),汇总!$A88)),S87)</f>
        <v/>
      </c>
    </row>
    <row r="89" hidden="1" s="326">
      <c r="A89" s="1">
        <f>+A88+1</f>
        <v/>
      </c>
      <c r="B89" s="563">
        <f t="array" ref="B89">IFERROR(INDEX(_xlfn._xlws.FILTER(INDIRECT(B$1&amp;"!$E1:$E10000"),INDIRECT(B$1&amp;"!$a1:$a10000")=汇总!$A89),COUNTIF(INDIRECT(B$1&amp;"!$a1:$a10000"),汇总!$A89)),B88)</f>
        <v/>
      </c>
      <c r="C89" s="563">
        <f t="array" ref="C89">IFERROR(INDEX(_xlfn._xlws.FILTER(INDIRECT(C$1&amp;"!$E1:$E10000"),INDIRECT(C$1&amp;"!$a1:$a10000")=汇总!$A89),COUNTIF(INDIRECT(C$1&amp;"!$a1:$a10000"),汇总!$A89)),C88)</f>
        <v/>
      </c>
      <c r="D89" s="563">
        <f t="array" ref="D89">IFERROR(INDEX(_xlfn._xlws.FILTER(INDIRECT(D$1&amp;"!$E1:$E10000"),INDIRECT(D$1&amp;"!$a1:$a10000")=汇总!$A89),COUNTIF(INDIRECT(D$1&amp;"!$a1:$a10000"),汇总!$A89)),D88)</f>
        <v/>
      </c>
      <c r="E89" s="563">
        <f t="array" ref="E89">IFERROR(INDEX(_xlfn._xlws.FILTER(INDIRECT(E$1&amp;"!$E1:$E10000"),INDIRECT(E$1&amp;"!$a1:$a10000")=汇总!$A89),COUNTIF(INDIRECT(E$1&amp;"!$a1:$a10000"),汇总!$A89)),E88)</f>
        <v/>
      </c>
      <c r="F89" s="563">
        <f t="array" ref="F89">IFERROR(INDEX(_xlfn._xlws.FILTER(INDIRECT(F$1&amp;"!$E1:$E10000"),INDIRECT(F$1&amp;"!$a1:$a10000")=汇总!$A89),COUNTIF(INDIRECT(F$1&amp;"!$a1:$a10000"),汇总!$A89)),F88)</f>
        <v/>
      </c>
      <c r="G89" s="563">
        <f t="array" ref="G89">IFERROR(INDEX(_xlfn._xlws.FILTER(INDIRECT(G$1&amp;"!$E1:$E10000"),INDIRECT(G$1&amp;"!$a1:$a10000")=汇总!$A89),COUNTIF(INDIRECT(G$1&amp;"!$a1:$a10000"),汇总!$A89)),G88)</f>
        <v/>
      </c>
      <c r="H89" s="563">
        <f t="array" ref="H89">IFERROR(INDEX(_xlfn._xlws.FILTER(INDIRECT(H$1&amp;"!$E1:$E10000"),INDIRECT(H$1&amp;"!$a1:$a10000")=汇总!$A89),COUNTIF(INDIRECT(H$1&amp;"!$a1:$a10000"),汇总!$A89)),H88)</f>
        <v/>
      </c>
      <c r="I89" s="563">
        <f t="array" ref="I89">IFERROR(INDEX(_xlfn._xlws.FILTER(INDIRECT(I$1&amp;"!$E1:$E10000"),INDIRECT(I$1&amp;"!$a1:$a10000")=汇总!$A89),COUNTIF(INDIRECT(I$1&amp;"!$a1:$a10000"),汇总!$A89)),I88)</f>
        <v/>
      </c>
      <c r="J89" s="563">
        <f t="array" ref="J89">IFERROR(INDEX(_xlfn._xlws.FILTER(INDIRECT(J$1&amp;"!$E1:$E10000"),INDIRECT(J$1&amp;"!$a1:$a10000")=汇总!$A89),COUNTIF(INDIRECT(J$1&amp;"!$a1:$a10000"),汇总!$A89)),J88)</f>
        <v/>
      </c>
      <c r="K89" s="563">
        <f t="array" ref="K89">IFERROR(INDEX(_xlfn._xlws.FILTER(INDIRECT(K$1&amp;"!$E1:$E10000"),INDIRECT(K$1&amp;"!$a1:$a10000")=汇总!$A89),COUNTIF(INDIRECT(K$1&amp;"!$a1:$a10000"),汇总!$A89)),K88)</f>
        <v/>
      </c>
      <c r="L89" s="563">
        <f t="array" ref="L89">IFERROR(INDEX(_xlfn._xlws.FILTER(INDIRECT(L$1&amp;"!$E1:$E10000"),INDIRECT(L$1&amp;"!$a1:$a10000")=汇总!$A89),COUNTIF(INDIRECT(L$1&amp;"!$a1:$a10000"),汇总!$A89)),L88)</f>
        <v/>
      </c>
      <c r="M89" s="563">
        <f t="array" ref="M89">IFERROR(INDEX(_xlfn._xlws.FILTER(INDIRECT(M$1&amp;"!$E1:$E10000"),INDIRECT(M$1&amp;"!$a1:$a10000")=汇总!$A89),COUNTIF(INDIRECT(M$1&amp;"!$a1:$a10000"),汇总!$A89)),M88)</f>
        <v/>
      </c>
      <c r="N89" s="563">
        <f t="array" ref="N89">IFERROR(INDEX(_xlfn._xlws.FILTER(INDIRECT(N$1&amp;"!$E1:$E10000"),INDIRECT(N$1&amp;"!$a1:$a10000")=汇总!$A89),COUNTIF(INDIRECT(N$1&amp;"!$a1:$a10000"),汇总!$A89)),N88)</f>
        <v/>
      </c>
      <c r="O89" s="563">
        <f t="array" ref="O89">IFERROR(INDEX(_xlfn._xlws.FILTER(INDIRECT(O$1&amp;"!$E1:$E10000"),INDIRECT(O$1&amp;"!$a1:$a10000")=汇总!$A89),COUNTIF(INDIRECT(O$1&amp;"!$a1:$a10000"),汇总!$A89)),O88)</f>
        <v/>
      </c>
      <c r="P89" s="563">
        <f t="array" ref="P89">IFERROR(INDEX(_xlfn._xlws.FILTER(INDIRECT(P$1&amp;"!$E1:$E10000"),INDIRECT(P$1&amp;"!$a1:$a10000")=汇总!$A89),COUNTIF(INDIRECT(P$1&amp;"!$a1:$a10000"),汇总!$A89)),P88)</f>
        <v/>
      </c>
      <c r="Q89" s="563">
        <f t="array" ref="Q89">IFERROR(INDEX(_xlfn._xlws.FILTER(INDIRECT(Q$1&amp;"!$E1:$E10000"),INDIRECT(Q$1&amp;"!$a1:$a10000")=汇总!$A89),COUNTIF(INDIRECT(Q$1&amp;"!$a1:$a10000"),汇总!$A89)),Q88)</f>
        <v/>
      </c>
      <c r="R89" s="563">
        <f t="array" ref="R89">IFERROR(INDEX(_xlfn._xlws.FILTER(INDIRECT(R$1&amp;"!$E1:$E10000"),INDIRECT(R$1&amp;"!$a1:$a10000")=汇总!$A89),COUNTIF(INDIRECT(R$1&amp;"!$a1:$a10000"),汇总!$A89)),R88)</f>
        <v/>
      </c>
      <c r="S89" s="563">
        <f t="array" ref="S89">IFERROR(INDEX(_xlfn._xlws.FILTER(INDIRECT(S$1&amp;"!$E1:$E10000"),INDIRECT(S$1&amp;"!$a1:$a10000")=汇总!$A89),COUNTIF(INDIRECT(S$1&amp;"!$a1:$a10000"),汇总!$A89)),S88)</f>
        <v/>
      </c>
    </row>
    <row r="90" hidden="1" s="326">
      <c r="A90" s="1">
        <f>+A89+1</f>
        <v/>
      </c>
      <c r="B90" s="563">
        <f t="array" ref="B90">IFERROR(INDEX(_xlfn._xlws.FILTER(INDIRECT(B$1&amp;"!$E1:$E10000"),INDIRECT(B$1&amp;"!$a1:$a10000")=汇总!$A90),COUNTIF(INDIRECT(B$1&amp;"!$a1:$a10000"),汇总!$A90)),B89)</f>
        <v/>
      </c>
      <c r="C90" s="563">
        <f t="array" ref="C90">IFERROR(INDEX(_xlfn._xlws.FILTER(INDIRECT(C$1&amp;"!$E1:$E10000"),INDIRECT(C$1&amp;"!$a1:$a10000")=汇总!$A90),COUNTIF(INDIRECT(C$1&amp;"!$a1:$a10000"),汇总!$A90)),C89)</f>
        <v/>
      </c>
      <c r="D90" s="563">
        <f t="array" ref="D90">IFERROR(INDEX(_xlfn._xlws.FILTER(INDIRECT(D$1&amp;"!$E1:$E10000"),INDIRECT(D$1&amp;"!$a1:$a10000")=汇总!$A90),COUNTIF(INDIRECT(D$1&amp;"!$a1:$a10000"),汇总!$A90)),D89)</f>
        <v/>
      </c>
      <c r="E90" s="563">
        <f t="array" ref="E90">IFERROR(INDEX(_xlfn._xlws.FILTER(INDIRECT(E$1&amp;"!$E1:$E10000"),INDIRECT(E$1&amp;"!$a1:$a10000")=汇总!$A90),COUNTIF(INDIRECT(E$1&amp;"!$a1:$a10000"),汇总!$A90)),E89)</f>
        <v/>
      </c>
      <c r="F90" s="563">
        <f t="array" ref="F90">IFERROR(INDEX(_xlfn._xlws.FILTER(INDIRECT(F$1&amp;"!$E1:$E10000"),INDIRECT(F$1&amp;"!$a1:$a10000")=汇总!$A90),COUNTIF(INDIRECT(F$1&amp;"!$a1:$a10000"),汇总!$A90)),F89)</f>
        <v/>
      </c>
      <c r="G90" s="563">
        <f t="array" ref="G90">IFERROR(INDEX(_xlfn._xlws.FILTER(INDIRECT(G$1&amp;"!$E1:$E10000"),INDIRECT(G$1&amp;"!$a1:$a10000")=汇总!$A90),COUNTIF(INDIRECT(G$1&amp;"!$a1:$a10000"),汇总!$A90)),G89)</f>
        <v/>
      </c>
      <c r="H90" s="563">
        <f t="array" ref="H90">IFERROR(INDEX(_xlfn._xlws.FILTER(INDIRECT(H$1&amp;"!$E1:$E10000"),INDIRECT(H$1&amp;"!$a1:$a10000")=汇总!$A90),COUNTIF(INDIRECT(H$1&amp;"!$a1:$a10000"),汇总!$A90)),H89)</f>
        <v/>
      </c>
      <c r="I90" s="563">
        <f t="array" ref="I90">IFERROR(INDEX(_xlfn._xlws.FILTER(INDIRECT(I$1&amp;"!$E1:$E10000"),INDIRECT(I$1&amp;"!$a1:$a10000")=汇总!$A90),COUNTIF(INDIRECT(I$1&amp;"!$a1:$a10000"),汇总!$A90)),I89)</f>
        <v/>
      </c>
      <c r="J90" s="563">
        <f t="array" ref="J90">IFERROR(INDEX(_xlfn._xlws.FILTER(INDIRECT(J$1&amp;"!$E1:$E10000"),INDIRECT(J$1&amp;"!$a1:$a10000")=汇总!$A90),COUNTIF(INDIRECT(J$1&amp;"!$a1:$a10000"),汇总!$A90)),J89)</f>
        <v/>
      </c>
      <c r="K90" s="563">
        <f t="array" ref="K90">IFERROR(INDEX(_xlfn._xlws.FILTER(INDIRECT(K$1&amp;"!$E1:$E10000"),INDIRECT(K$1&amp;"!$a1:$a10000")=汇总!$A90),COUNTIF(INDIRECT(K$1&amp;"!$a1:$a10000"),汇总!$A90)),K89)</f>
        <v/>
      </c>
      <c r="L90" s="563">
        <f t="array" ref="L90">IFERROR(INDEX(_xlfn._xlws.FILTER(INDIRECT(L$1&amp;"!$E1:$E10000"),INDIRECT(L$1&amp;"!$a1:$a10000")=汇总!$A90),COUNTIF(INDIRECT(L$1&amp;"!$a1:$a10000"),汇总!$A90)),L89)</f>
        <v/>
      </c>
      <c r="M90" s="563">
        <f t="array" ref="M90">IFERROR(INDEX(_xlfn._xlws.FILTER(INDIRECT(M$1&amp;"!$E1:$E10000"),INDIRECT(M$1&amp;"!$a1:$a10000")=汇总!$A90),COUNTIF(INDIRECT(M$1&amp;"!$a1:$a10000"),汇总!$A90)),M89)</f>
        <v/>
      </c>
      <c r="N90" s="563">
        <f t="array" ref="N90">IFERROR(INDEX(_xlfn._xlws.FILTER(INDIRECT(N$1&amp;"!$E1:$E10000"),INDIRECT(N$1&amp;"!$a1:$a10000")=汇总!$A90),COUNTIF(INDIRECT(N$1&amp;"!$a1:$a10000"),汇总!$A90)),N89)</f>
        <v/>
      </c>
      <c r="O90" s="563">
        <f t="array" ref="O90">IFERROR(INDEX(_xlfn._xlws.FILTER(INDIRECT(O$1&amp;"!$E1:$E10000"),INDIRECT(O$1&amp;"!$a1:$a10000")=汇总!$A90),COUNTIF(INDIRECT(O$1&amp;"!$a1:$a10000"),汇总!$A90)),O89)</f>
        <v/>
      </c>
      <c r="P90" s="563">
        <f t="array" ref="P90">IFERROR(INDEX(_xlfn._xlws.FILTER(INDIRECT(P$1&amp;"!$E1:$E10000"),INDIRECT(P$1&amp;"!$a1:$a10000")=汇总!$A90),COUNTIF(INDIRECT(P$1&amp;"!$a1:$a10000"),汇总!$A90)),P89)</f>
        <v/>
      </c>
      <c r="Q90" s="563">
        <f t="array" ref="Q90">IFERROR(INDEX(_xlfn._xlws.FILTER(INDIRECT(Q$1&amp;"!$E1:$E10000"),INDIRECT(Q$1&amp;"!$a1:$a10000")=汇总!$A90),COUNTIF(INDIRECT(Q$1&amp;"!$a1:$a10000"),汇总!$A90)),Q89)</f>
        <v/>
      </c>
      <c r="R90" s="563">
        <f t="array" ref="R90">IFERROR(INDEX(_xlfn._xlws.FILTER(INDIRECT(R$1&amp;"!$E1:$E10000"),INDIRECT(R$1&amp;"!$a1:$a10000")=汇总!$A90),COUNTIF(INDIRECT(R$1&amp;"!$a1:$a10000"),汇总!$A90)),R89)</f>
        <v/>
      </c>
      <c r="S90" s="563">
        <f t="array" ref="S90">IFERROR(INDEX(_xlfn._xlws.FILTER(INDIRECT(S$1&amp;"!$E1:$E10000"),INDIRECT(S$1&amp;"!$a1:$a10000")=汇总!$A90),COUNTIF(INDIRECT(S$1&amp;"!$a1:$a10000"),汇总!$A90)),S89)</f>
        <v/>
      </c>
    </row>
    <row r="91" hidden="1" s="326">
      <c r="A91" s="1">
        <f>+A90+1</f>
        <v/>
      </c>
      <c r="B91" s="563">
        <f t="array" ref="B91">IFERROR(INDEX(_xlfn._xlws.FILTER(INDIRECT(B$1&amp;"!$E1:$E10000"),INDIRECT(B$1&amp;"!$a1:$a10000")=汇总!$A91),COUNTIF(INDIRECT(B$1&amp;"!$a1:$a10000"),汇总!$A91)),B90)</f>
        <v/>
      </c>
      <c r="C91" s="563">
        <f t="array" ref="C91">IFERROR(INDEX(_xlfn._xlws.FILTER(INDIRECT(C$1&amp;"!$E1:$E10000"),INDIRECT(C$1&amp;"!$a1:$a10000")=汇总!$A91),COUNTIF(INDIRECT(C$1&amp;"!$a1:$a10000"),汇总!$A91)),C90)</f>
        <v/>
      </c>
      <c r="D91" s="563">
        <f t="array" ref="D91">IFERROR(INDEX(_xlfn._xlws.FILTER(INDIRECT(D$1&amp;"!$E1:$E10000"),INDIRECT(D$1&amp;"!$a1:$a10000")=汇总!$A91),COUNTIF(INDIRECT(D$1&amp;"!$a1:$a10000"),汇总!$A91)),D90)</f>
        <v/>
      </c>
      <c r="E91" s="563">
        <f t="array" ref="E91">IFERROR(INDEX(_xlfn._xlws.FILTER(INDIRECT(E$1&amp;"!$E1:$E10000"),INDIRECT(E$1&amp;"!$a1:$a10000")=汇总!$A91),COUNTIF(INDIRECT(E$1&amp;"!$a1:$a10000"),汇总!$A91)),E90)</f>
        <v/>
      </c>
      <c r="F91" s="563">
        <f t="array" ref="F91">IFERROR(INDEX(_xlfn._xlws.FILTER(INDIRECT(F$1&amp;"!$E1:$E10000"),INDIRECT(F$1&amp;"!$a1:$a10000")=汇总!$A91),COUNTIF(INDIRECT(F$1&amp;"!$a1:$a10000"),汇总!$A91)),F90)</f>
        <v/>
      </c>
      <c r="G91" s="563">
        <f t="array" ref="G91">IFERROR(INDEX(_xlfn._xlws.FILTER(INDIRECT(G$1&amp;"!$E1:$E10000"),INDIRECT(G$1&amp;"!$a1:$a10000")=汇总!$A91),COUNTIF(INDIRECT(G$1&amp;"!$a1:$a10000"),汇总!$A91)),G90)</f>
        <v/>
      </c>
      <c r="H91" s="563">
        <f t="array" ref="H91">IFERROR(INDEX(_xlfn._xlws.FILTER(INDIRECT(H$1&amp;"!$E1:$E10000"),INDIRECT(H$1&amp;"!$a1:$a10000")=汇总!$A91),COUNTIF(INDIRECT(H$1&amp;"!$a1:$a10000"),汇总!$A91)),H90)</f>
        <v/>
      </c>
      <c r="I91" s="563">
        <f t="array" ref="I91">IFERROR(INDEX(_xlfn._xlws.FILTER(INDIRECT(I$1&amp;"!$E1:$E10000"),INDIRECT(I$1&amp;"!$a1:$a10000")=汇总!$A91),COUNTIF(INDIRECT(I$1&amp;"!$a1:$a10000"),汇总!$A91)),I90)</f>
        <v/>
      </c>
      <c r="J91" s="563">
        <f t="array" ref="J91">IFERROR(INDEX(_xlfn._xlws.FILTER(INDIRECT(J$1&amp;"!$E1:$E10000"),INDIRECT(J$1&amp;"!$a1:$a10000")=汇总!$A91),COUNTIF(INDIRECT(J$1&amp;"!$a1:$a10000"),汇总!$A91)),J90)</f>
        <v/>
      </c>
      <c r="K91" s="563">
        <f t="array" ref="K91">IFERROR(INDEX(_xlfn._xlws.FILTER(INDIRECT(K$1&amp;"!$E1:$E10000"),INDIRECT(K$1&amp;"!$a1:$a10000")=汇总!$A91),COUNTIF(INDIRECT(K$1&amp;"!$a1:$a10000"),汇总!$A91)),K90)</f>
        <v/>
      </c>
      <c r="L91" s="563">
        <f t="array" ref="L91">IFERROR(INDEX(_xlfn._xlws.FILTER(INDIRECT(L$1&amp;"!$E1:$E10000"),INDIRECT(L$1&amp;"!$a1:$a10000")=汇总!$A91),COUNTIF(INDIRECT(L$1&amp;"!$a1:$a10000"),汇总!$A91)),L90)</f>
        <v/>
      </c>
      <c r="M91" s="563">
        <f t="array" ref="M91">IFERROR(INDEX(_xlfn._xlws.FILTER(INDIRECT(M$1&amp;"!$E1:$E10000"),INDIRECT(M$1&amp;"!$a1:$a10000")=汇总!$A91),COUNTIF(INDIRECT(M$1&amp;"!$a1:$a10000"),汇总!$A91)),M90)</f>
        <v/>
      </c>
      <c r="N91" s="563">
        <f t="array" ref="N91">IFERROR(INDEX(_xlfn._xlws.FILTER(INDIRECT(N$1&amp;"!$E1:$E10000"),INDIRECT(N$1&amp;"!$a1:$a10000")=汇总!$A91),COUNTIF(INDIRECT(N$1&amp;"!$a1:$a10000"),汇总!$A91)),N90)</f>
        <v/>
      </c>
      <c r="O91" s="563">
        <f t="array" ref="O91">IFERROR(INDEX(_xlfn._xlws.FILTER(INDIRECT(O$1&amp;"!$E1:$E10000"),INDIRECT(O$1&amp;"!$a1:$a10000")=汇总!$A91),COUNTIF(INDIRECT(O$1&amp;"!$a1:$a10000"),汇总!$A91)),O90)</f>
        <v/>
      </c>
      <c r="P91" s="563">
        <f t="array" ref="P91">IFERROR(INDEX(_xlfn._xlws.FILTER(INDIRECT(P$1&amp;"!$E1:$E10000"),INDIRECT(P$1&amp;"!$a1:$a10000")=汇总!$A91),COUNTIF(INDIRECT(P$1&amp;"!$a1:$a10000"),汇总!$A91)),P90)</f>
        <v/>
      </c>
      <c r="Q91" s="563">
        <f t="array" ref="Q91">IFERROR(INDEX(_xlfn._xlws.FILTER(INDIRECT(Q$1&amp;"!$E1:$E10000"),INDIRECT(Q$1&amp;"!$a1:$a10000")=汇总!$A91),COUNTIF(INDIRECT(Q$1&amp;"!$a1:$a10000"),汇总!$A91)),Q90)</f>
        <v/>
      </c>
      <c r="R91" s="563">
        <f t="array" ref="R91">IFERROR(INDEX(_xlfn._xlws.FILTER(INDIRECT(R$1&amp;"!$E1:$E10000"),INDIRECT(R$1&amp;"!$a1:$a10000")=汇总!$A91),COUNTIF(INDIRECT(R$1&amp;"!$a1:$a10000"),汇总!$A91)),R90)</f>
        <v/>
      </c>
      <c r="S91" s="563">
        <f t="array" ref="S91">IFERROR(INDEX(_xlfn._xlws.FILTER(INDIRECT(S$1&amp;"!$E1:$E10000"),INDIRECT(S$1&amp;"!$a1:$a10000")=汇总!$A91),COUNTIF(INDIRECT(S$1&amp;"!$a1:$a10000"),汇总!$A91)),S90)</f>
        <v/>
      </c>
    </row>
    <row r="92" hidden="1" s="326">
      <c r="A92" s="1">
        <f>+A91+1</f>
        <v/>
      </c>
      <c r="B92" s="563">
        <f t="array" ref="B92">IFERROR(INDEX(_xlfn._xlws.FILTER(INDIRECT(B$1&amp;"!$E1:$E10000"),INDIRECT(B$1&amp;"!$a1:$a10000")=汇总!$A92),COUNTIF(INDIRECT(B$1&amp;"!$a1:$a10000"),汇总!$A92)),B91)</f>
        <v/>
      </c>
      <c r="C92" s="563">
        <f t="array" ref="C92">IFERROR(INDEX(_xlfn._xlws.FILTER(INDIRECT(C$1&amp;"!$E1:$E10000"),INDIRECT(C$1&amp;"!$a1:$a10000")=汇总!$A92),COUNTIF(INDIRECT(C$1&amp;"!$a1:$a10000"),汇总!$A92)),C91)</f>
        <v/>
      </c>
      <c r="D92" s="563">
        <f t="array" ref="D92">IFERROR(INDEX(_xlfn._xlws.FILTER(INDIRECT(D$1&amp;"!$E1:$E10000"),INDIRECT(D$1&amp;"!$a1:$a10000")=汇总!$A92),COUNTIF(INDIRECT(D$1&amp;"!$a1:$a10000"),汇总!$A92)),D91)</f>
        <v/>
      </c>
      <c r="E92" s="563">
        <f t="array" ref="E92">IFERROR(INDEX(_xlfn._xlws.FILTER(INDIRECT(E$1&amp;"!$E1:$E10000"),INDIRECT(E$1&amp;"!$a1:$a10000")=汇总!$A92),COUNTIF(INDIRECT(E$1&amp;"!$a1:$a10000"),汇总!$A92)),E91)</f>
        <v/>
      </c>
      <c r="F92" s="563">
        <f t="array" ref="F92">IFERROR(INDEX(_xlfn._xlws.FILTER(INDIRECT(F$1&amp;"!$E1:$E10000"),INDIRECT(F$1&amp;"!$a1:$a10000")=汇总!$A92),COUNTIF(INDIRECT(F$1&amp;"!$a1:$a10000"),汇总!$A92)),F91)</f>
        <v/>
      </c>
      <c r="G92" s="563">
        <f t="array" ref="G92">IFERROR(INDEX(_xlfn._xlws.FILTER(INDIRECT(G$1&amp;"!$E1:$E10000"),INDIRECT(G$1&amp;"!$a1:$a10000")=汇总!$A92),COUNTIF(INDIRECT(G$1&amp;"!$a1:$a10000"),汇总!$A92)),G91)</f>
        <v/>
      </c>
      <c r="H92" s="563">
        <f t="array" ref="H92">IFERROR(INDEX(_xlfn._xlws.FILTER(INDIRECT(H$1&amp;"!$E1:$E10000"),INDIRECT(H$1&amp;"!$a1:$a10000")=汇总!$A92),COUNTIF(INDIRECT(H$1&amp;"!$a1:$a10000"),汇总!$A92)),H91)</f>
        <v/>
      </c>
      <c r="I92" s="563">
        <f t="array" ref="I92">IFERROR(INDEX(_xlfn._xlws.FILTER(INDIRECT(I$1&amp;"!$E1:$E10000"),INDIRECT(I$1&amp;"!$a1:$a10000")=汇总!$A92),COUNTIF(INDIRECT(I$1&amp;"!$a1:$a10000"),汇总!$A92)),I91)</f>
        <v/>
      </c>
      <c r="J92" s="563">
        <f t="array" ref="J92">IFERROR(INDEX(_xlfn._xlws.FILTER(INDIRECT(J$1&amp;"!$E1:$E10000"),INDIRECT(J$1&amp;"!$a1:$a10000")=汇总!$A92),COUNTIF(INDIRECT(J$1&amp;"!$a1:$a10000"),汇总!$A92)),J91)</f>
        <v/>
      </c>
      <c r="K92" s="563">
        <f t="array" ref="K92">IFERROR(INDEX(_xlfn._xlws.FILTER(INDIRECT(K$1&amp;"!$E1:$E10000"),INDIRECT(K$1&amp;"!$a1:$a10000")=汇总!$A92),COUNTIF(INDIRECT(K$1&amp;"!$a1:$a10000"),汇总!$A92)),K91)</f>
        <v/>
      </c>
      <c r="L92" s="563">
        <f t="array" ref="L92">IFERROR(INDEX(_xlfn._xlws.FILTER(INDIRECT(L$1&amp;"!$E1:$E10000"),INDIRECT(L$1&amp;"!$a1:$a10000")=汇总!$A92),COUNTIF(INDIRECT(L$1&amp;"!$a1:$a10000"),汇总!$A92)),L91)</f>
        <v/>
      </c>
      <c r="M92" s="563">
        <f t="array" ref="M92">IFERROR(INDEX(_xlfn._xlws.FILTER(INDIRECT(M$1&amp;"!$E1:$E10000"),INDIRECT(M$1&amp;"!$a1:$a10000")=汇总!$A92),COUNTIF(INDIRECT(M$1&amp;"!$a1:$a10000"),汇总!$A92)),M91)</f>
        <v/>
      </c>
      <c r="N92" s="563">
        <f t="array" ref="N92">IFERROR(INDEX(_xlfn._xlws.FILTER(INDIRECT(N$1&amp;"!$E1:$E10000"),INDIRECT(N$1&amp;"!$a1:$a10000")=汇总!$A92),COUNTIF(INDIRECT(N$1&amp;"!$a1:$a10000"),汇总!$A92)),N91)</f>
        <v/>
      </c>
      <c r="O92" s="563">
        <f t="array" ref="O92">IFERROR(INDEX(_xlfn._xlws.FILTER(INDIRECT(O$1&amp;"!$E1:$E10000"),INDIRECT(O$1&amp;"!$a1:$a10000")=汇总!$A92),COUNTIF(INDIRECT(O$1&amp;"!$a1:$a10000"),汇总!$A92)),O91)</f>
        <v/>
      </c>
      <c r="P92" s="563">
        <f t="array" ref="P92">IFERROR(INDEX(_xlfn._xlws.FILTER(INDIRECT(P$1&amp;"!$E1:$E10000"),INDIRECT(P$1&amp;"!$a1:$a10000")=汇总!$A92),COUNTIF(INDIRECT(P$1&amp;"!$a1:$a10000"),汇总!$A92)),P91)</f>
        <v/>
      </c>
      <c r="Q92" s="563">
        <f t="array" ref="Q92">IFERROR(INDEX(_xlfn._xlws.FILTER(INDIRECT(Q$1&amp;"!$E1:$E10000"),INDIRECT(Q$1&amp;"!$a1:$a10000")=汇总!$A92),COUNTIF(INDIRECT(Q$1&amp;"!$a1:$a10000"),汇总!$A92)),Q91)</f>
        <v/>
      </c>
      <c r="R92" s="563">
        <f t="array" ref="R92">IFERROR(INDEX(_xlfn._xlws.FILTER(INDIRECT(R$1&amp;"!$E1:$E10000"),INDIRECT(R$1&amp;"!$a1:$a10000")=汇总!$A92),COUNTIF(INDIRECT(R$1&amp;"!$a1:$a10000"),汇总!$A92)),R91)</f>
        <v/>
      </c>
      <c r="S92" s="563">
        <f t="array" ref="S92">IFERROR(INDEX(_xlfn._xlws.FILTER(INDIRECT(S$1&amp;"!$E1:$E10000"),INDIRECT(S$1&amp;"!$a1:$a10000")=汇总!$A92),COUNTIF(INDIRECT(S$1&amp;"!$a1:$a10000"),汇总!$A92)),S91)</f>
        <v/>
      </c>
    </row>
    <row r="93" hidden="1" s="326">
      <c r="A93" s="1">
        <f>+A92+1</f>
        <v/>
      </c>
      <c r="B93" s="563">
        <f t="array" ref="B93">IFERROR(INDEX(_xlfn._xlws.FILTER(INDIRECT(B$1&amp;"!$E1:$E10000"),INDIRECT(B$1&amp;"!$a1:$a10000")=汇总!$A93),COUNTIF(INDIRECT(B$1&amp;"!$a1:$a10000"),汇总!$A93)),B92)</f>
        <v/>
      </c>
      <c r="C93" s="563">
        <f t="array" ref="C93">IFERROR(INDEX(_xlfn._xlws.FILTER(INDIRECT(C$1&amp;"!$E1:$E10000"),INDIRECT(C$1&amp;"!$a1:$a10000")=汇总!$A93),COUNTIF(INDIRECT(C$1&amp;"!$a1:$a10000"),汇总!$A93)),C92)</f>
        <v/>
      </c>
      <c r="D93" s="563">
        <f t="array" ref="D93">IFERROR(INDEX(_xlfn._xlws.FILTER(INDIRECT(D$1&amp;"!$E1:$E10000"),INDIRECT(D$1&amp;"!$a1:$a10000")=汇总!$A93),COUNTIF(INDIRECT(D$1&amp;"!$a1:$a10000"),汇总!$A93)),D92)</f>
        <v/>
      </c>
      <c r="E93" s="563">
        <f t="array" ref="E93">IFERROR(INDEX(_xlfn._xlws.FILTER(INDIRECT(E$1&amp;"!$E1:$E10000"),INDIRECT(E$1&amp;"!$a1:$a10000")=汇总!$A93),COUNTIF(INDIRECT(E$1&amp;"!$a1:$a10000"),汇总!$A93)),E92)</f>
        <v/>
      </c>
      <c r="F93" s="563">
        <f t="array" ref="F93">IFERROR(INDEX(_xlfn._xlws.FILTER(INDIRECT(F$1&amp;"!$E1:$E10000"),INDIRECT(F$1&amp;"!$a1:$a10000")=汇总!$A93),COUNTIF(INDIRECT(F$1&amp;"!$a1:$a10000"),汇总!$A93)),F92)</f>
        <v/>
      </c>
      <c r="G93" s="563">
        <f t="array" ref="G93">IFERROR(INDEX(_xlfn._xlws.FILTER(INDIRECT(G$1&amp;"!$E1:$E10000"),INDIRECT(G$1&amp;"!$a1:$a10000")=汇总!$A93),COUNTIF(INDIRECT(G$1&amp;"!$a1:$a10000"),汇总!$A93)),G92)</f>
        <v/>
      </c>
      <c r="H93" s="563">
        <f t="array" ref="H93">IFERROR(INDEX(_xlfn._xlws.FILTER(INDIRECT(H$1&amp;"!$E1:$E10000"),INDIRECT(H$1&amp;"!$a1:$a10000")=汇总!$A93),COUNTIF(INDIRECT(H$1&amp;"!$a1:$a10000"),汇总!$A93)),H92)</f>
        <v/>
      </c>
      <c r="I93" s="563">
        <f t="array" ref="I93">IFERROR(INDEX(_xlfn._xlws.FILTER(INDIRECT(I$1&amp;"!$E1:$E10000"),INDIRECT(I$1&amp;"!$a1:$a10000")=汇总!$A93),COUNTIF(INDIRECT(I$1&amp;"!$a1:$a10000"),汇总!$A93)),I92)</f>
        <v/>
      </c>
      <c r="J93" s="563">
        <f t="array" ref="J93">IFERROR(INDEX(_xlfn._xlws.FILTER(INDIRECT(J$1&amp;"!$E1:$E10000"),INDIRECT(J$1&amp;"!$a1:$a10000")=汇总!$A93),COUNTIF(INDIRECT(J$1&amp;"!$a1:$a10000"),汇总!$A93)),J92)</f>
        <v/>
      </c>
      <c r="K93" s="563">
        <f t="array" ref="K93">IFERROR(INDEX(_xlfn._xlws.FILTER(INDIRECT(K$1&amp;"!$E1:$E10000"),INDIRECT(K$1&amp;"!$a1:$a10000")=汇总!$A93),COUNTIF(INDIRECT(K$1&amp;"!$a1:$a10000"),汇总!$A93)),K92)</f>
        <v/>
      </c>
      <c r="L93" s="563">
        <f t="array" ref="L93">IFERROR(INDEX(_xlfn._xlws.FILTER(INDIRECT(L$1&amp;"!$E1:$E10000"),INDIRECT(L$1&amp;"!$a1:$a10000")=汇总!$A93),COUNTIF(INDIRECT(L$1&amp;"!$a1:$a10000"),汇总!$A93)),L92)</f>
        <v/>
      </c>
      <c r="M93" s="563">
        <f t="array" ref="M93">IFERROR(INDEX(_xlfn._xlws.FILTER(INDIRECT(M$1&amp;"!$E1:$E10000"),INDIRECT(M$1&amp;"!$a1:$a10000")=汇总!$A93),COUNTIF(INDIRECT(M$1&amp;"!$a1:$a10000"),汇总!$A93)),M92)</f>
        <v/>
      </c>
      <c r="N93" s="563">
        <f t="array" ref="N93">IFERROR(INDEX(_xlfn._xlws.FILTER(INDIRECT(N$1&amp;"!$E1:$E10000"),INDIRECT(N$1&amp;"!$a1:$a10000")=汇总!$A93),COUNTIF(INDIRECT(N$1&amp;"!$a1:$a10000"),汇总!$A93)),N92)</f>
        <v/>
      </c>
      <c r="O93" s="563">
        <f t="array" ref="O93">IFERROR(INDEX(_xlfn._xlws.FILTER(INDIRECT(O$1&amp;"!$E1:$E10000"),INDIRECT(O$1&amp;"!$a1:$a10000")=汇总!$A93),COUNTIF(INDIRECT(O$1&amp;"!$a1:$a10000"),汇总!$A93)),O92)</f>
        <v/>
      </c>
      <c r="P93" s="563">
        <f t="array" ref="P93">IFERROR(INDEX(_xlfn._xlws.FILTER(INDIRECT(P$1&amp;"!$E1:$E10000"),INDIRECT(P$1&amp;"!$a1:$a10000")=汇总!$A93),COUNTIF(INDIRECT(P$1&amp;"!$a1:$a10000"),汇总!$A93)),P92)</f>
        <v/>
      </c>
      <c r="Q93" s="563">
        <f t="array" ref="Q93">IFERROR(INDEX(_xlfn._xlws.FILTER(INDIRECT(Q$1&amp;"!$E1:$E10000"),INDIRECT(Q$1&amp;"!$a1:$a10000")=汇总!$A93),COUNTIF(INDIRECT(Q$1&amp;"!$a1:$a10000"),汇总!$A93)),Q92)</f>
        <v/>
      </c>
      <c r="R93" s="563">
        <f t="array" ref="R93">IFERROR(INDEX(_xlfn._xlws.FILTER(INDIRECT(R$1&amp;"!$E1:$E10000"),INDIRECT(R$1&amp;"!$a1:$a10000")=汇总!$A93),COUNTIF(INDIRECT(R$1&amp;"!$a1:$a10000"),汇总!$A93)),R92)</f>
        <v/>
      </c>
      <c r="S93" s="563">
        <f t="array" ref="S93">IFERROR(INDEX(_xlfn._xlws.FILTER(INDIRECT(S$1&amp;"!$E1:$E10000"),INDIRECT(S$1&amp;"!$a1:$a10000")=汇总!$A93),COUNTIF(INDIRECT(S$1&amp;"!$a1:$a10000"),汇总!$A93)),S92)</f>
        <v/>
      </c>
    </row>
    <row r="94" hidden="1" s="326">
      <c r="A94" s="1">
        <f>+A93+1</f>
        <v/>
      </c>
      <c r="B94" s="563">
        <f t="array" ref="B94">IFERROR(INDEX(_xlfn._xlws.FILTER(INDIRECT(B$1&amp;"!$E1:$E10000"),INDIRECT(B$1&amp;"!$a1:$a10000")=汇总!$A94),COUNTIF(INDIRECT(B$1&amp;"!$a1:$a10000"),汇总!$A94)),B93)</f>
        <v/>
      </c>
      <c r="C94" s="563">
        <f t="array" ref="C94">IFERROR(INDEX(_xlfn._xlws.FILTER(INDIRECT(C$1&amp;"!$E1:$E10000"),INDIRECT(C$1&amp;"!$a1:$a10000")=汇总!$A94),COUNTIF(INDIRECT(C$1&amp;"!$a1:$a10000"),汇总!$A94)),C93)</f>
        <v/>
      </c>
      <c r="D94" s="563">
        <f t="array" ref="D94">IFERROR(INDEX(_xlfn._xlws.FILTER(INDIRECT(D$1&amp;"!$E1:$E10000"),INDIRECT(D$1&amp;"!$a1:$a10000")=汇总!$A94),COUNTIF(INDIRECT(D$1&amp;"!$a1:$a10000"),汇总!$A94)),D93)</f>
        <v/>
      </c>
      <c r="E94" s="563">
        <f t="array" ref="E94">IFERROR(INDEX(_xlfn._xlws.FILTER(INDIRECT(E$1&amp;"!$E1:$E10000"),INDIRECT(E$1&amp;"!$a1:$a10000")=汇总!$A94),COUNTIF(INDIRECT(E$1&amp;"!$a1:$a10000"),汇总!$A94)),E93)</f>
        <v/>
      </c>
      <c r="F94" s="563">
        <f t="array" ref="F94">IFERROR(INDEX(_xlfn._xlws.FILTER(INDIRECT(F$1&amp;"!$E1:$E10000"),INDIRECT(F$1&amp;"!$a1:$a10000")=汇总!$A94),COUNTIF(INDIRECT(F$1&amp;"!$a1:$a10000"),汇总!$A94)),F93)</f>
        <v/>
      </c>
      <c r="G94" s="563">
        <f t="array" ref="G94">IFERROR(INDEX(_xlfn._xlws.FILTER(INDIRECT(G$1&amp;"!$E1:$E10000"),INDIRECT(G$1&amp;"!$a1:$a10000")=汇总!$A94),COUNTIF(INDIRECT(G$1&amp;"!$a1:$a10000"),汇总!$A94)),G93)</f>
        <v/>
      </c>
      <c r="H94" s="563">
        <f t="array" ref="H94">IFERROR(INDEX(_xlfn._xlws.FILTER(INDIRECT(H$1&amp;"!$E1:$E10000"),INDIRECT(H$1&amp;"!$a1:$a10000")=汇总!$A94),COUNTIF(INDIRECT(H$1&amp;"!$a1:$a10000"),汇总!$A94)),H93)</f>
        <v/>
      </c>
      <c r="I94" s="563">
        <f t="array" ref="I94">IFERROR(INDEX(_xlfn._xlws.FILTER(INDIRECT(I$1&amp;"!$E1:$E10000"),INDIRECT(I$1&amp;"!$a1:$a10000")=汇总!$A94),COUNTIF(INDIRECT(I$1&amp;"!$a1:$a10000"),汇总!$A94)),I93)</f>
        <v/>
      </c>
      <c r="J94" s="563">
        <f t="array" ref="J94">IFERROR(INDEX(_xlfn._xlws.FILTER(INDIRECT(J$1&amp;"!$E1:$E10000"),INDIRECT(J$1&amp;"!$a1:$a10000")=汇总!$A94),COUNTIF(INDIRECT(J$1&amp;"!$a1:$a10000"),汇总!$A94)),J93)</f>
        <v/>
      </c>
      <c r="K94" s="563">
        <f t="array" ref="K94">IFERROR(INDEX(_xlfn._xlws.FILTER(INDIRECT(K$1&amp;"!$E1:$E10000"),INDIRECT(K$1&amp;"!$a1:$a10000")=汇总!$A94),COUNTIF(INDIRECT(K$1&amp;"!$a1:$a10000"),汇总!$A94)),K93)</f>
        <v/>
      </c>
      <c r="L94" s="563">
        <f t="array" ref="L94">IFERROR(INDEX(_xlfn._xlws.FILTER(INDIRECT(L$1&amp;"!$E1:$E10000"),INDIRECT(L$1&amp;"!$a1:$a10000")=汇总!$A94),COUNTIF(INDIRECT(L$1&amp;"!$a1:$a10000"),汇总!$A94)),L93)</f>
        <v/>
      </c>
      <c r="M94" s="563">
        <f t="array" ref="M94">IFERROR(INDEX(_xlfn._xlws.FILTER(INDIRECT(M$1&amp;"!$E1:$E10000"),INDIRECT(M$1&amp;"!$a1:$a10000")=汇总!$A94),COUNTIF(INDIRECT(M$1&amp;"!$a1:$a10000"),汇总!$A94)),M93)</f>
        <v/>
      </c>
      <c r="N94" s="563">
        <f t="array" ref="N94">IFERROR(INDEX(_xlfn._xlws.FILTER(INDIRECT(N$1&amp;"!$E1:$E10000"),INDIRECT(N$1&amp;"!$a1:$a10000")=汇总!$A94),COUNTIF(INDIRECT(N$1&amp;"!$a1:$a10000"),汇总!$A94)),N93)</f>
        <v/>
      </c>
      <c r="O94" s="563">
        <f t="array" ref="O94">IFERROR(INDEX(_xlfn._xlws.FILTER(INDIRECT(O$1&amp;"!$E1:$E10000"),INDIRECT(O$1&amp;"!$a1:$a10000")=汇总!$A94),COUNTIF(INDIRECT(O$1&amp;"!$a1:$a10000"),汇总!$A94)),O93)</f>
        <v/>
      </c>
      <c r="P94" s="563">
        <f t="array" ref="P94">IFERROR(INDEX(_xlfn._xlws.FILTER(INDIRECT(P$1&amp;"!$E1:$E10000"),INDIRECT(P$1&amp;"!$a1:$a10000")=汇总!$A94),COUNTIF(INDIRECT(P$1&amp;"!$a1:$a10000"),汇总!$A94)),P93)</f>
        <v/>
      </c>
      <c r="Q94" s="563">
        <f t="array" ref="Q94">IFERROR(INDEX(_xlfn._xlws.FILTER(INDIRECT(Q$1&amp;"!$E1:$E10000"),INDIRECT(Q$1&amp;"!$a1:$a10000")=汇总!$A94),COUNTIF(INDIRECT(Q$1&amp;"!$a1:$a10000"),汇总!$A94)),Q93)</f>
        <v/>
      </c>
      <c r="R94" s="563">
        <f t="array" ref="R94">IFERROR(INDEX(_xlfn._xlws.FILTER(INDIRECT(R$1&amp;"!$E1:$E10000"),INDIRECT(R$1&amp;"!$a1:$a10000")=汇总!$A94),COUNTIF(INDIRECT(R$1&amp;"!$a1:$a10000"),汇总!$A94)),R93)</f>
        <v/>
      </c>
      <c r="S94" s="563">
        <f t="array" ref="S94">IFERROR(INDEX(_xlfn._xlws.FILTER(INDIRECT(S$1&amp;"!$E1:$E10000"),INDIRECT(S$1&amp;"!$a1:$a10000")=汇总!$A94),COUNTIF(INDIRECT(S$1&amp;"!$a1:$a10000"),汇总!$A94)),S93)</f>
        <v/>
      </c>
    </row>
    <row r="95" hidden="1" s="326">
      <c r="A95" s="1">
        <f>+A94+1</f>
        <v/>
      </c>
      <c r="B95" s="563">
        <f t="array" ref="B95">IFERROR(INDEX(_xlfn._xlws.FILTER(INDIRECT(B$1&amp;"!$E1:$E10000"),INDIRECT(B$1&amp;"!$a1:$a10000")=汇总!$A95),COUNTIF(INDIRECT(B$1&amp;"!$a1:$a10000"),汇总!$A95)),B94)</f>
        <v/>
      </c>
      <c r="C95" s="563">
        <f t="array" ref="C95">IFERROR(INDEX(_xlfn._xlws.FILTER(INDIRECT(C$1&amp;"!$E1:$E10000"),INDIRECT(C$1&amp;"!$a1:$a10000")=汇总!$A95),COUNTIF(INDIRECT(C$1&amp;"!$a1:$a10000"),汇总!$A95)),C94)</f>
        <v/>
      </c>
      <c r="D95" s="563">
        <f t="array" ref="D95">IFERROR(INDEX(_xlfn._xlws.FILTER(INDIRECT(D$1&amp;"!$E1:$E10000"),INDIRECT(D$1&amp;"!$a1:$a10000")=汇总!$A95),COUNTIF(INDIRECT(D$1&amp;"!$a1:$a10000"),汇总!$A95)),D94)</f>
        <v/>
      </c>
      <c r="E95" s="563">
        <f t="array" ref="E95">IFERROR(INDEX(_xlfn._xlws.FILTER(INDIRECT(E$1&amp;"!$E1:$E10000"),INDIRECT(E$1&amp;"!$a1:$a10000")=汇总!$A95),COUNTIF(INDIRECT(E$1&amp;"!$a1:$a10000"),汇总!$A95)),E94)</f>
        <v/>
      </c>
      <c r="F95" s="563">
        <f t="array" ref="F95">IFERROR(INDEX(_xlfn._xlws.FILTER(INDIRECT(F$1&amp;"!$E1:$E10000"),INDIRECT(F$1&amp;"!$a1:$a10000")=汇总!$A95),COUNTIF(INDIRECT(F$1&amp;"!$a1:$a10000"),汇总!$A95)),F94)</f>
        <v/>
      </c>
      <c r="G95" s="563">
        <f t="array" ref="G95">IFERROR(INDEX(_xlfn._xlws.FILTER(INDIRECT(G$1&amp;"!$E1:$E10000"),INDIRECT(G$1&amp;"!$a1:$a10000")=汇总!$A95),COUNTIF(INDIRECT(G$1&amp;"!$a1:$a10000"),汇总!$A95)),G94)</f>
        <v/>
      </c>
      <c r="H95" s="563">
        <f t="array" ref="H95">IFERROR(INDEX(_xlfn._xlws.FILTER(INDIRECT(H$1&amp;"!$E1:$E10000"),INDIRECT(H$1&amp;"!$a1:$a10000")=汇总!$A95),COUNTIF(INDIRECT(H$1&amp;"!$a1:$a10000"),汇总!$A95)),H94)</f>
        <v/>
      </c>
      <c r="I95" s="563">
        <f t="array" ref="I95">IFERROR(INDEX(_xlfn._xlws.FILTER(INDIRECT(I$1&amp;"!$E1:$E10000"),INDIRECT(I$1&amp;"!$a1:$a10000")=汇总!$A95),COUNTIF(INDIRECT(I$1&amp;"!$a1:$a10000"),汇总!$A95)),I94)</f>
        <v/>
      </c>
      <c r="J95" s="563">
        <f t="array" ref="J95">IFERROR(INDEX(_xlfn._xlws.FILTER(INDIRECT(J$1&amp;"!$E1:$E10000"),INDIRECT(J$1&amp;"!$a1:$a10000")=汇总!$A95),COUNTIF(INDIRECT(J$1&amp;"!$a1:$a10000"),汇总!$A95)),J94)</f>
        <v/>
      </c>
      <c r="K95" s="563">
        <f t="array" ref="K95">IFERROR(INDEX(_xlfn._xlws.FILTER(INDIRECT(K$1&amp;"!$E1:$E10000"),INDIRECT(K$1&amp;"!$a1:$a10000")=汇总!$A95),COUNTIF(INDIRECT(K$1&amp;"!$a1:$a10000"),汇总!$A95)),K94)</f>
        <v/>
      </c>
      <c r="L95" s="563">
        <f t="array" ref="L95">IFERROR(INDEX(_xlfn._xlws.FILTER(INDIRECT(L$1&amp;"!$E1:$E10000"),INDIRECT(L$1&amp;"!$a1:$a10000")=汇总!$A95),COUNTIF(INDIRECT(L$1&amp;"!$a1:$a10000"),汇总!$A95)),L94)</f>
        <v/>
      </c>
      <c r="M95" s="563">
        <f t="array" ref="M95">IFERROR(INDEX(_xlfn._xlws.FILTER(INDIRECT(M$1&amp;"!$E1:$E10000"),INDIRECT(M$1&amp;"!$a1:$a10000")=汇总!$A95),COUNTIF(INDIRECT(M$1&amp;"!$a1:$a10000"),汇总!$A95)),M94)</f>
        <v/>
      </c>
      <c r="N95" s="563">
        <f t="array" ref="N95">IFERROR(INDEX(_xlfn._xlws.FILTER(INDIRECT(N$1&amp;"!$E1:$E10000"),INDIRECT(N$1&amp;"!$a1:$a10000")=汇总!$A95),COUNTIF(INDIRECT(N$1&amp;"!$a1:$a10000"),汇总!$A95)),N94)</f>
        <v/>
      </c>
      <c r="O95" s="563">
        <f t="array" ref="O95">IFERROR(INDEX(_xlfn._xlws.FILTER(INDIRECT(O$1&amp;"!$E1:$E10000"),INDIRECT(O$1&amp;"!$a1:$a10000")=汇总!$A95),COUNTIF(INDIRECT(O$1&amp;"!$a1:$a10000"),汇总!$A95)),O94)</f>
        <v/>
      </c>
      <c r="P95" s="563">
        <f t="array" ref="P95">IFERROR(INDEX(_xlfn._xlws.FILTER(INDIRECT(P$1&amp;"!$E1:$E10000"),INDIRECT(P$1&amp;"!$a1:$a10000")=汇总!$A95),COUNTIF(INDIRECT(P$1&amp;"!$a1:$a10000"),汇总!$A95)),P94)</f>
        <v/>
      </c>
      <c r="Q95" s="563">
        <f t="array" ref="Q95">IFERROR(INDEX(_xlfn._xlws.FILTER(INDIRECT(Q$1&amp;"!$E1:$E10000"),INDIRECT(Q$1&amp;"!$a1:$a10000")=汇总!$A95),COUNTIF(INDIRECT(Q$1&amp;"!$a1:$a10000"),汇总!$A95)),Q94)</f>
        <v/>
      </c>
      <c r="R95" s="563">
        <f t="array" ref="R95">IFERROR(INDEX(_xlfn._xlws.FILTER(INDIRECT(R$1&amp;"!$E1:$E10000"),INDIRECT(R$1&amp;"!$a1:$a10000")=汇总!$A95),COUNTIF(INDIRECT(R$1&amp;"!$a1:$a10000"),汇总!$A95)),R94)</f>
        <v/>
      </c>
      <c r="S95" s="563">
        <f t="array" ref="S95">IFERROR(INDEX(_xlfn._xlws.FILTER(INDIRECT(S$1&amp;"!$E1:$E10000"),INDIRECT(S$1&amp;"!$a1:$a10000")=汇总!$A95),COUNTIF(INDIRECT(S$1&amp;"!$a1:$a10000"),汇总!$A95)),S94)</f>
        <v/>
      </c>
    </row>
    <row r="96" hidden="1" s="326">
      <c r="A96" s="1">
        <f>+A95+1</f>
        <v/>
      </c>
      <c r="B96" s="563">
        <f t="array" ref="B96">IFERROR(INDEX(_xlfn._xlws.FILTER(INDIRECT(B$1&amp;"!$E1:$E10000"),INDIRECT(B$1&amp;"!$a1:$a10000")=汇总!$A96),COUNTIF(INDIRECT(B$1&amp;"!$a1:$a10000"),汇总!$A96)),B95)</f>
        <v/>
      </c>
      <c r="C96" s="563">
        <f t="array" ref="C96">IFERROR(INDEX(_xlfn._xlws.FILTER(INDIRECT(C$1&amp;"!$E1:$E10000"),INDIRECT(C$1&amp;"!$a1:$a10000")=汇总!$A96),COUNTIF(INDIRECT(C$1&amp;"!$a1:$a10000"),汇总!$A96)),C95)</f>
        <v/>
      </c>
      <c r="D96" s="563">
        <f t="array" ref="D96">IFERROR(INDEX(_xlfn._xlws.FILTER(INDIRECT(D$1&amp;"!$E1:$E10000"),INDIRECT(D$1&amp;"!$a1:$a10000")=汇总!$A96),COUNTIF(INDIRECT(D$1&amp;"!$a1:$a10000"),汇总!$A96)),D95)</f>
        <v/>
      </c>
      <c r="E96" s="563">
        <f t="array" ref="E96">IFERROR(INDEX(_xlfn._xlws.FILTER(INDIRECT(E$1&amp;"!$E1:$E10000"),INDIRECT(E$1&amp;"!$a1:$a10000")=汇总!$A96),COUNTIF(INDIRECT(E$1&amp;"!$a1:$a10000"),汇总!$A96)),E95)</f>
        <v/>
      </c>
      <c r="F96" s="563">
        <f t="array" ref="F96">IFERROR(INDEX(_xlfn._xlws.FILTER(INDIRECT(F$1&amp;"!$E1:$E10000"),INDIRECT(F$1&amp;"!$a1:$a10000")=汇总!$A96),COUNTIF(INDIRECT(F$1&amp;"!$a1:$a10000"),汇总!$A96)),F95)</f>
        <v/>
      </c>
      <c r="G96" s="563">
        <f t="array" ref="G96">IFERROR(INDEX(_xlfn._xlws.FILTER(INDIRECT(G$1&amp;"!$E1:$E10000"),INDIRECT(G$1&amp;"!$a1:$a10000")=汇总!$A96),COUNTIF(INDIRECT(G$1&amp;"!$a1:$a10000"),汇总!$A96)),G95)</f>
        <v/>
      </c>
      <c r="H96" s="563">
        <f t="array" ref="H96">IFERROR(INDEX(_xlfn._xlws.FILTER(INDIRECT(H$1&amp;"!$E1:$E10000"),INDIRECT(H$1&amp;"!$a1:$a10000")=汇总!$A96),COUNTIF(INDIRECT(H$1&amp;"!$a1:$a10000"),汇总!$A96)),H95)</f>
        <v/>
      </c>
      <c r="I96" s="563">
        <f t="array" ref="I96">IFERROR(INDEX(_xlfn._xlws.FILTER(INDIRECT(I$1&amp;"!$E1:$E10000"),INDIRECT(I$1&amp;"!$a1:$a10000")=汇总!$A96),COUNTIF(INDIRECT(I$1&amp;"!$a1:$a10000"),汇总!$A96)),I95)</f>
        <v/>
      </c>
      <c r="J96" s="563">
        <f t="array" ref="J96">IFERROR(INDEX(_xlfn._xlws.FILTER(INDIRECT(J$1&amp;"!$E1:$E10000"),INDIRECT(J$1&amp;"!$a1:$a10000")=汇总!$A96),COUNTIF(INDIRECT(J$1&amp;"!$a1:$a10000"),汇总!$A96)),J95)</f>
        <v/>
      </c>
      <c r="K96" s="563">
        <f t="array" ref="K96">IFERROR(INDEX(_xlfn._xlws.FILTER(INDIRECT(K$1&amp;"!$E1:$E10000"),INDIRECT(K$1&amp;"!$a1:$a10000")=汇总!$A96),COUNTIF(INDIRECT(K$1&amp;"!$a1:$a10000"),汇总!$A96)),K95)</f>
        <v/>
      </c>
      <c r="L96" s="563">
        <f t="array" ref="L96">IFERROR(INDEX(_xlfn._xlws.FILTER(INDIRECT(L$1&amp;"!$E1:$E10000"),INDIRECT(L$1&amp;"!$a1:$a10000")=汇总!$A96),COUNTIF(INDIRECT(L$1&amp;"!$a1:$a10000"),汇总!$A96)),L95)</f>
        <v/>
      </c>
      <c r="M96" s="563">
        <f t="array" ref="M96">IFERROR(INDEX(_xlfn._xlws.FILTER(INDIRECT(M$1&amp;"!$E1:$E10000"),INDIRECT(M$1&amp;"!$a1:$a10000")=汇总!$A96),COUNTIF(INDIRECT(M$1&amp;"!$a1:$a10000"),汇总!$A96)),M95)</f>
        <v/>
      </c>
      <c r="N96" s="563">
        <f t="array" ref="N96">IFERROR(INDEX(_xlfn._xlws.FILTER(INDIRECT(N$1&amp;"!$E1:$E10000"),INDIRECT(N$1&amp;"!$a1:$a10000")=汇总!$A96),COUNTIF(INDIRECT(N$1&amp;"!$a1:$a10000"),汇总!$A96)),N95)</f>
        <v/>
      </c>
      <c r="O96" s="563">
        <f t="array" ref="O96">IFERROR(INDEX(_xlfn._xlws.FILTER(INDIRECT(O$1&amp;"!$E1:$E10000"),INDIRECT(O$1&amp;"!$a1:$a10000")=汇总!$A96),COUNTIF(INDIRECT(O$1&amp;"!$a1:$a10000"),汇总!$A96)),O95)</f>
        <v/>
      </c>
      <c r="P96" s="563">
        <f t="array" ref="P96">IFERROR(INDEX(_xlfn._xlws.FILTER(INDIRECT(P$1&amp;"!$E1:$E10000"),INDIRECT(P$1&amp;"!$a1:$a10000")=汇总!$A96),COUNTIF(INDIRECT(P$1&amp;"!$a1:$a10000"),汇总!$A96)),P95)</f>
        <v/>
      </c>
      <c r="Q96" s="563">
        <f t="array" ref="Q96">IFERROR(INDEX(_xlfn._xlws.FILTER(INDIRECT(Q$1&amp;"!$E1:$E10000"),INDIRECT(Q$1&amp;"!$a1:$a10000")=汇总!$A96),COUNTIF(INDIRECT(Q$1&amp;"!$a1:$a10000"),汇总!$A96)),Q95)</f>
        <v/>
      </c>
      <c r="R96" s="563">
        <f t="array" ref="R96">IFERROR(INDEX(_xlfn._xlws.FILTER(INDIRECT(R$1&amp;"!$E1:$E10000"),INDIRECT(R$1&amp;"!$a1:$a10000")=汇总!$A96),COUNTIF(INDIRECT(R$1&amp;"!$a1:$a10000"),汇总!$A96)),R95)</f>
        <v/>
      </c>
      <c r="S96" s="563">
        <f t="array" ref="S96">IFERROR(INDEX(_xlfn._xlws.FILTER(INDIRECT(S$1&amp;"!$E1:$E10000"),INDIRECT(S$1&amp;"!$a1:$a10000")=汇总!$A96),COUNTIF(INDIRECT(S$1&amp;"!$a1:$a10000"),汇总!$A96)),S95)</f>
        <v/>
      </c>
    </row>
    <row r="97" hidden="1" s="326">
      <c r="A97" s="1">
        <f>+A96+1</f>
        <v/>
      </c>
      <c r="B97" s="563">
        <f t="array" ref="B97">IFERROR(INDEX(_xlfn._xlws.FILTER(INDIRECT(B$1&amp;"!$E1:$E10000"),INDIRECT(B$1&amp;"!$a1:$a10000")=汇总!$A97),COUNTIF(INDIRECT(B$1&amp;"!$a1:$a10000"),汇总!$A97)),B96)</f>
        <v/>
      </c>
      <c r="C97" s="563">
        <f t="array" ref="C97">IFERROR(INDEX(_xlfn._xlws.FILTER(INDIRECT(C$1&amp;"!$E1:$E10000"),INDIRECT(C$1&amp;"!$a1:$a10000")=汇总!$A97),COUNTIF(INDIRECT(C$1&amp;"!$a1:$a10000"),汇总!$A97)),C96)</f>
        <v/>
      </c>
      <c r="D97" s="563">
        <f t="array" ref="D97">IFERROR(INDEX(_xlfn._xlws.FILTER(INDIRECT(D$1&amp;"!$E1:$E10000"),INDIRECT(D$1&amp;"!$a1:$a10000")=汇总!$A97),COUNTIF(INDIRECT(D$1&amp;"!$a1:$a10000"),汇总!$A97)),D96)</f>
        <v/>
      </c>
      <c r="E97" s="563">
        <f t="array" ref="E97">IFERROR(INDEX(_xlfn._xlws.FILTER(INDIRECT(E$1&amp;"!$E1:$E10000"),INDIRECT(E$1&amp;"!$a1:$a10000")=汇总!$A97),COUNTIF(INDIRECT(E$1&amp;"!$a1:$a10000"),汇总!$A97)),E96)</f>
        <v/>
      </c>
      <c r="F97" s="563">
        <f t="array" ref="F97">IFERROR(INDEX(_xlfn._xlws.FILTER(INDIRECT(F$1&amp;"!$E1:$E10000"),INDIRECT(F$1&amp;"!$a1:$a10000")=汇总!$A97),COUNTIF(INDIRECT(F$1&amp;"!$a1:$a10000"),汇总!$A97)),F96)</f>
        <v/>
      </c>
      <c r="G97" s="563">
        <f t="array" ref="G97">IFERROR(INDEX(_xlfn._xlws.FILTER(INDIRECT(G$1&amp;"!$E1:$E10000"),INDIRECT(G$1&amp;"!$a1:$a10000")=汇总!$A97),COUNTIF(INDIRECT(G$1&amp;"!$a1:$a10000"),汇总!$A97)),G96)</f>
        <v/>
      </c>
      <c r="H97" s="563">
        <f t="array" ref="H97">IFERROR(INDEX(_xlfn._xlws.FILTER(INDIRECT(H$1&amp;"!$E1:$E10000"),INDIRECT(H$1&amp;"!$a1:$a10000")=汇总!$A97),COUNTIF(INDIRECT(H$1&amp;"!$a1:$a10000"),汇总!$A97)),H96)</f>
        <v/>
      </c>
      <c r="I97" s="563">
        <f t="array" ref="I97">IFERROR(INDEX(_xlfn._xlws.FILTER(INDIRECT(I$1&amp;"!$E1:$E10000"),INDIRECT(I$1&amp;"!$a1:$a10000")=汇总!$A97),COUNTIF(INDIRECT(I$1&amp;"!$a1:$a10000"),汇总!$A97)),I96)</f>
        <v/>
      </c>
      <c r="J97" s="563">
        <f t="array" ref="J97">IFERROR(INDEX(_xlfn._xlws.FILTER(INDIRECT(J$1&amp;"!$E1:$E10000"),INDIRECT(J$1&amp;"!$a1:$a10000")=汇总!$A97),COUNTIF(INDIRECT(J$1&amp;"!$a1:$a10000"),汇总!$A97)),J96)</f>
        <v/>
      </c>
      <c r="K97" s="563">
        <f t="array" ref="K97">IFERROR(INDEX(_xlfn._xlws.FILTER(INDIRECT(K$1&amp;"!$E1:$E10000"),INDIRECT(K$1&amp;"!$a1:$a10000")=汇总!$A97),COUNTIF(INDIRECT(K$1&amp;"!$a1:$a10000"),汇总!$A97)),K96)</f>
        <v/>
      </c>
      <c r="L97" s="563">
        <f t="array" ref="L97">IFERROR(INDEX(_xlfn._xlws.FILTER(INDIRECT(L$1&amp;"!$E1:$E10000"),INDIRECT(L$1&amp;"!$a1:$a10000")=汇总!$A97),COUNTIF(INDIRECT(L$1&amp;"!$a1:$a10000"),汇总!$A97)),L96)</f>
        <v/>
      </c>
      <c r="M97" s="563">
        <f t="array" ref="M97">IFERROR(INDEX(_xlfn._xlws.FILTER(INDIRECT(M$1&amp;"!$E1:$E10000"),INDIRECT(M$1&amp;"!$a1:$a10000")=汇总!$A97),COUNTIF(INDIRECT(M$1&amp;"!$a1:$a10000"),汇总!$A97)),M96)</f>
        <v/>
      </c>
      <c r="N97" s="563">
        <f t="array" ref="N97">IFERROR(INDEX(_xlfn._xlws.FILTER(INDIRECT(N$1&amp;"!$E1:$E10000"),INDIRECT(N$1&amp;"!$a1:$a10000")=汇总!$A97),COUNTIF(INDIRECT(N$1&amp;"!$a1:$a10000"),汇总!$A97)),N96)</f>
        <v/>
      </c>
      <c r="O97" s="563">
        <f t="array" ref="O97">IFERROR(INDEX(_xlfn._xlws.FILTER(INDIRECT(O$1&amp;"!$E1:$E10000"),INDIRECT(O$1&amp;"!$a1:$a10000")=汇总!$A97),COUNTIF(INDIRECT(O$1&amp;"!$a1:$a10000"),汇总!$A97)),O96)</f>
        <v/>
      </c>
      <c r="P97" s="563">
        <f t="array" ref="P97">IFERROR(INDEX(_xlfn._xlws.FILTER(INDIRECT(P$1&amp;"!$E1:$E10000"),INDIRECT(P$1&amp;"!$a1:$a10000")=汇总!$A97),COUNTIF(INDIRECT(P$1&amp;"!$a1:$a10000"),汇总!$A97)),P96)</f>
        <v/>
      </c>
      <c r="Q97" s="563">
        <f t="array" ref="Q97">IFERROR(INDEX(_xlfn._xlws.FILTER(INDIRECT(Q$1&amp;"!$E1:$E10000"),INDIRECT(Q$1&amp;"!$a1:$a10000")=汇总!$A97),COUNTIF(INDIRECT(Q$1&amp;"!$a1:$a10000"),汇总!$A97)),Q96)</f>
        <v/>
      </c>
      <c r="R97" s="563">
        <f t="array" ref="R97">IFERROR(INDEX(_xlfn._xlws.FILTER(INDIRECT(R$1&amp;"!$E1:$E10000"),INDIRECT(R$1&amp;"!$a1:$a10000")=汇总!$A97),COUNTIF(INDIRECT(R$1&amp;"!$a1:$a10000"),汇总!$A97)),R96)</f>
        <v/>
      </c>
      <c r="S97" s="563">
        <f t="array" ref="S97">IFERROR(INDEX(_xlfn._xlws.FILTER(INDIRECT(S$1&amp;"!$E1:$E10000"),INDIRECT(S$1&amp;"!$a1:$a10000")=汇总!$A97),COUNTIF(INDIRECT(S$1&amp;"!$a1:$a10000"),汇总!$A97)),S96)</f>
        <v/>
      </c>
    </row>
    <row r="98">
      <c r="A98" s="1">
        <f>+A97+1</f>
        <v/>
      </c>
      <c r="B98" s="563">
        <f t="array" ref="B98">IFERROR(INDEX(_xlfn._xlws.FILTER(INDIRECT(B$1&amp;"!$E1:$E10000"),INDIRECT(B$1&amp;"!$a1:$a10000")=汇总!$A98),COUNTIF(INDIRECT(B$1&amp;"!$a1:$a10000"),汇总!$A98)),B97)</f>
        <v/>
      </c>
      <c r="C98" s="563">
        <f t="array" ref="C98">IFERROR(INDEX(_xlfn._xlws.FILTER(INDIRECT(C$1&amp;"!$E1:$E10000"),INDIRECT(C$1&amp;"!$a1:$a10000")=汇总!$A98),COUNTIF(INDIRECT(C$1&amp;"!$a1:$a10000"),汇总!$A98)),C97)</f>
        <v/>
      </c>
      <c r="D98" s="563">
        <f t="array" ref="D98">IFERROR(INDEX(_xlfn._xlws.FILTER(INDIRECT(D$1&amp;"!$E1:$E10000"),INDIRECT(D$1&amp;"!$a1:$a10000")=汇总!$A98),COUNTIF(INDIRECT(D$1&amp;"!$a1:$a10000"),汇总!$A98)),D97)</f>
        <v/>
      </c>
      <c r="E98" s="563">
        <f t="array" ref="E98">IFERROR(INDEX(_xlfn._xlws.FILTER(INDIRECT(E$1&amp;"!$E1:$E10000"),INDIRECT(E$1&amp;"!$a1:$a10000")=汇总!$A98),COUNTIF(INDIRECT(E$1&amp;"!$a1:$a10000"),汇总!$A98)),E97)</f>
        <v/>
      </c>
      <c r="F98" s="563">
        <f t="array" ref="F98">IFERROR(INDEX(_xlfn._xlws.FILTER(INDIRECT(F$1&amp;"!$E1:$E10000"),INDIRECT(F$1&amp;"!$a1:$a10000")=汇总!$A98),COUNTIF(INDIRECT(F$1&amp;"!$a1:$a10000"),汇总!$A98)),F97)</f>
        <v/>
      </c>
      <c r="G98" s="563">
        <f t="array" ref="G98">IFERROR(INDEX(_xlfn._xlws.FILTER(INDIRECT(G$1&amp;"!$E1:$E10000"),INDIRECT(G$1&amp;"!$a1:$a10000")=汇总!$A98),COUNTIF(INDIRECT(G$1&amp;"!$a1:$a10000"),汇总!$A98)),G97)</f>
        <v/>
      </c>
      <c r="H98" s="563">
        <f t="array" ref="H98">IFERROR(INDEX(_xlfn._xlws.FILTER(INDIRECT(H$1&amp;"!$E1:$E10000"),INDIRECT(H$1&amp;"!$a1:$a10000")=汇总!$A98),COUNTIF(INDIRECT(H$1&amp;"!$a1:$a10000"),汇总!$A98)),H97)</f>
        <v/>
      </c>
      <c r="I98" s="563">
        <f t="array" ref="I98">IFERROR(INDEX(_xlfn._xlws.FILTER(INDIRECT(I$1&amp;"!$E1:$E10000"),INDIRECT(I$1&amp;"!$a1:$a10000")=汇总!$A98),COUNTIF(INDIRECT(I$1&amp;"!$a1:$a10000"),汇总!$A98)),I97)</f>
        <v/>
      </c>
      <c r="J98" s="563">
        <f t="array" ref="J98">IFERROR(INDEX(_xlfn._xlws.FILTER(INDIRECT(J$1&amp;"!$E1:$E10000"),INDIRECT(J$1&amp;"!$a1:$a10000")=汇总!$A98),COUNTIF(INDIRECT(J$1&amp;"!$a1:$a10000"),汇总!$A98)),J97)</f>
        <v/>
      </c>
      <c r="K98" s="563">
        <f t="array" ref="K98">IFERROR(INDEX(_xlfn._xlws.FILTER(INDIRECT(K$1&amp;"!$E1:$E10000"),INDIRECT(K$1&amp;"!$a1:$a10000")=汇总!$A98),COUNTIF(INDIRECT(K$1&amp;"!$a1:$a10000"),汇总!$A98)),K97)</f>
        <v/>
      </c>
      <c r="L98" s="563">
        <f t="array" ref="L98">IFERROR(INDEX(_xlfn._xlws.FILTER(INDIRECT(L$1&amp;"!$E1:$E10000"),INDIRECT(L$1&amp;"!$a1:$a10000")=汇总!$A98),COUNTIF(INDIRECT(L$1&amp;"!$a1:$a10000"),汇总!$A98)),L97)</f>
        <v/>
      </c>
      <c r="M98" s="563">
        <f t="array" ref="M98">IFERROR(INDEX(_xlfn._xlws.FILTER(INDIRECT(M$1&amp;"!$E1:$E10000"),INDIRECT(M$1&amp;"!$a1:$a10000")=汇总!$A98),COUNTIF(INDIRECT(M$1&amp;"!$a1:$a10000"),汇总!$A98)),M97)</f>
        <v/>
      </c>
      <c r="N98" s="563">
        <f t="array" ref="N98">IFERROR(INDEX(_xlfn._xlws.FILTER(INDIRECT(N$1&amp;"!$E1:$E10000"),INDIRECT(N$1&amp;"!$a1:$a10000")=汇总!$A98),COUNTIF(INDIRECT(N$1&amp;"!$a1:$a10000"),汇总!$A98)),N97)</f>
        <v/>
      </c>
      <c r="O98" s="563">
        <f t="array" ref="O98">IFERROR(INDEX(_xlfn._xlws.FILTER(INDIRECT(O$1&amp;"!$E1:$E10000"),INDIRECT(O$1&amp;"!$a1:$a10000")=汇总!$A98),COUNTIF(INDIRECT(O$1&amp;"!$a1:$a10000"),汇总!$A98)),O97)</f>
        <v/>
      </c>
      <c r="P98" s="563">
        <f t="array" ref="P98">IFERROR(INDEX(_xlfn._xlws.FILTER(INDIRECT(P$1&amp;"!$E1:$E10000"),INDIRECT(P$1&amp;"!$a1:$a10000")=汇总!$A98),COUNTIF(INDIRECT(P$1&amp;"!$a1:$a10000"),汇总!$A98)),P97)</f>
        <v/>
      </c>
      <c r="Q98" s="563">
        <f t="array" ref="Q98">IFERROR(INDEX(_xlfn._xlws.FILTER(INDIRECT(Q$1&amp;"!$E1:$E10000"),INDIRECT(Q$1&amp;"!$a1:$a10000")=汇总!$A98),COUNTIF(INDIRECT(Q$1&amp;"!$a1:$a10000"),汇总!$A98)),Q97)</f>
        <v/>
      </c>
      <c r="R98" s="563">
        <f t="array" ref="R98">IFERROR(INDEX(_xlfn._xlws.FILTER(INDIRECT(R$1&amp;"!$E1:$E10000"),INDIRECT(R$1&amp;"!$a1:$a10000")=汇总!$A98),COUNTIF(INDIRECT(R$1&amp;"!$a1:$a10000"),汇总!$A98)),R97)</f>
        <v/>
      </c>
      <c r="S98" s="563">
        <f t="array" ref="S98">IFERROR(INDEX(_xlfn._xlws.FILTER(INDIRECT(S$1&amp;"!$E1:$E10000"),INDIRECT(S$1&amp;"!$a1:$a10000")=汇总!$A98),COUNTIF(INDIRECT(S$1&amp;"!$a1:$a10000"),汇总!$A98)),S97)</f>
        <v/>
      </c>
      <c r="T98" s="563">
        <f t="array" ref="T98">IFERROR(INDEX(_xlfn._xlws.FILTER(INDIRECT(T$1&amp;"!$E1:$E10000"),INDIRECT(T$1&amp;"!$a1:$a10000")=汇总!$A98),COUNTIF(INDIRECT(T$1&amp;"!$a1:$a10000"),汇总!$A98)),T97)</f>
        <v/>
      </c>
      <c r="U98" s="563" t="n"/>
    </row>
    <row r="99">
      <c r="A99" s="1">
        <f>+A98+1</f>
        <v/>
      </c>
      <c r="B99" s="563">
        <f t="array" ref="B99">IFERROR(INDEX(_xlfn._xlws.FILTER(INDIRECT(B$1&amp;"!$E1:$E10000"),INDIRECT(B$1&amp;"!$a1:$a10000")=汇总!$A99),COUNTIF(INDIRECT(B$1&amp;"!$a1:$a10000"),汇总!$A99)),B98)</f>
        <v/>
      </c>
      <c r="C99" s="563">
        <f t="array" ref="C99">IFERROR(INDEX(_xlfn._xlws.FILTER(INDIRECT(C$1&amp;"!$E1:$E10000"),INDIRECT(C$1&amp;"!$a1:$a10000")=汇总!$A99),COUNTIF(INDIRECT(C$1&amp;"!$a1:$a10000"),汇总!$A99)),C98)</f>
        <v/>
      </c>
      <c r="D99" s="563">
        <f t="array" ref="D99">IFERROR(INDEX(_xlfn._xlws.FILTER(INDIRECT(D$1&amp;"!$E1:$E10000"),INDIRECT(D$1&amp;"!$a1:$a10000")=汇总!$A99),COUNTIF(INDIRECT(D$1&amp;"!$a1:$a10000"),汇总!$A99)),D98)</f>
        <v/>
      </c>
      <c r="E99" s="563">
        <f t="array" ref="E99">IFERROR(INDEX(_xlfn._xlws.FILTER(INDIRECT(E$1&amp;"!$E1:$E10000"),INDIRECT(E$1&amp;"!$a1:$a10000")=汇总!$A99),COUNTIF(INDIRECT(E$1&amp;"!$a1:$a10000"),汇总!$A99)),E98)</f>
        <v/>
      </c>
      <c r="F99" s="563">
        <f t="array" ref="F99">IFERROR(INDEX(_xlfn._xlws.FILTER(INDIRECT(F$1&amp;"!$E1:$E10000"),INDIRECT(F$1&amp;"!$a1:$a10000")=汇总!$A99),COUNTIF(INDIRECT(F$1&amp;"!$a1:$a10000"),汇总!$A99)),F98)</f>
        <v/>
      </c>
      <c r="G99" s="563">
        <f t="array" ref="G99">IFERROR(INDEX(_xlfn._xlws.FILTER(INDIRECT(G$1&amp;"!$E1:$E10000"),INDIRECT(G$1&amp;"!$a1:$a10000")=汇总!$A99),COUNTIF(INDIRECT(G$1&amp;"!$a1:$a10000"),汇总!$A99)),G98)</f>
        <v/>
      </c>
      <c r="H99" s="563">
        <f t="array" ref="H99">IFERROR(INDEX(_xlfn._xlws.FILTER(INDIRECT(H$1&amp;"!$E1:$E10000"),INDIRECT(H$1&amp;"!$a1:$a10000")=汇总!$A99),COUNTIF(INDIRECT(H$1&amp;"!$a1:$a10000"),汇总!$A99)),H98)</f>
        <v/>
      </c>
      <c r="I99" s="563">
        <f t="array" ref="I99">IFERROR(INDEX(_xlfn._xlws.FILTER(INDIRECT(I$1&amp;"!$E1:$E10000"),INDIRECT(I$1&amp;"!$a1:$a10000")=汇总!$A99),COUNTIF(INDIRECT(I$1&amp;"!$a1:$a10000"),汇总!$A99)),I98)</f>
        <v/>
      </c>
      <c r="J99" s="563">
        <f t="array" ref="J99">IFERROR(INDEX(_xlfn._xlws.FILTER(INDIRECT(J$1&amp;"!$E1:$E10000"),INDIRECT(J$1&amp;"!$a1:$a10000")=汇总!$A99),COUNTIF(INDIRECT(J$1&amp;"!$a1:$a10000"),汇总!$A99)),J98)</f>
        <v/>
      </c>
      <c r="K99" s="563">
        <f t="array" ref="K99">IFERROR(INDEX(_xlfn._xlws.FILTER(INDIRECT(K$1&amp;"!$E1:$E10000"),INDIRECT(K$1&amp;"!$a1:$a10000")=汇总!$A99),COUNTIF(INDIRECT(K$1&amp;"!$a1:$a10000"),汇总!$A99)),K98)</f>
        <v/>
      </c>
      <c r="L99" s="563">
        <f t="array" ref="L99">IFERROR(INDEX(_xlfn._xlws.FILTER(INDIRECT(L$1&amp;"!$E1:$E10000"),INDIRECT(L$1&amp;"!$a1:$a10000")=汇总!$A99),COUNTIF(INDIRECT(L$1&amp;"!$a1:$a10000"),汇总!$A99)),L98)</f>
        <v/>
      </c>
      <c r="M99" s="563">
        <f t="array" ref="M99">IFERROR(INDEX(_xlfn._xlws.FILTER(INDIRECT(M$1&amp;"!$E1:$E10000"),INDIRECT(M$1&amp;"!$a1:$a10000")=汇总!$A99),COUNTIF(INDIRECT(M$1&amp;"!$a1:$a10000"),汇总!$A99)),M98)</f>
        <v/>
      </c>
      <c r="N99" s="563">
        <f t="array" ref="N99">IFERROR(INDEX(_xlfn._xlws.FILTER(INDIRECT(N$1&amp;"!$E1:$E10000"),INDIRECT(N$1&amp;"!$a1:$a10000")=汇总!$A99),COUNTIF(INDIRECT(N$1&amp;"!$a1:$a10000"),汇总!$A99)),N98)</f>
        <v/>
      </c>
      <c r="O99" s="563">
        <f t="array" ref="O99">IFERROR(INDEX(_xlfn._xlws.FILTER(INDIRECT(O$1&amp;"!$E1:$E10000"),INDIRECT(O$1&amp;"!$a1:$a10000")=汇总!$A99),COUNTIF(INDIRECT(O$1&amp;"!$a1:$a10000"),汇总!$A99)),O98)</f>
        <v/>
      </c>
      <c r="P99" s="563">
        <f t="array" ref="P99">IFERROR(INDEX(_xlfn._xlws.FILTER(INDIRECT(P$1&amp;"!$E1:$E10000"),INDIRECT(P$1&amp;"!$a1:$a10000")=汇总!$A99),COUNTIF(INDIRECT(P$1&amp;"!$a1:$a10000"),汇总!$A99)),P98)</f>
        <v/>
      </c>
      <c r="Q99" s="563">
        <f t="array" ref="Q99">IFERROR(INDEX(_xlfn._xlws.FILTER(INDIRECT(Q$1&amp;"!$E1:$E10000"),INDIRECT(Q$1&amp;"!$a1:$a10000")=汇总!$A99),COUNTIF(INDIRECT(Q$1&amp;"!$a1:$a10000"),汇总!$A99)),Q98)</f>
        <v/>
      </c>
      <c r="R99" s="563">
        <f t="array" ref="R99">IFERROR(INDEX(_xlfn._xlws.FILTER(INDIRECT(R$1&amp;"!$E1:$E10000"),INDIRECT(R$1&amp;"!$a1:$a10000")=汇总!$A99),COUNTIF(INDIRECT(R$1&amp;"!$a1:$a10000"),汇总!$A99)),R98)</f>
        <v/>
      </c>
      <c r="S99" s="563">
        <f t="array" ref="S99">IFERROR(INDEX(_xlfn._xlws.FILTER(INDIRECT(S$1&amp;"!$E1:$E10000"),INDIRECT(S$1&amp;"!$a1:$a10000")=汇总!$A99),COUNTIF(INDIRECT(S$1&amp;"!$a1:$a10000"),汇总!$A99)),S98)</f>
        <v/>
      </c>
      <c r="T99" s="563">
        <f t="array" ref="T99">IFERROR(INDEX(_xlfn._xlws.FILTER(INDIRECT(T$1&amp;"!$E1:$E10000"),INDIRECT(T$1&amp;"!$a1:$a10000")=汇总!$A99),COUNTIF(INDIRECT(T$1&amp;"!$a1:$a10000"),汇总!$A99)),T98)</f>
        <v/>
      </c>
    </row>
    <row r="100">
      <c r="A100" s="1">
        <f>+A99+1</f>
        <v/>
      </c>
      <c r="B100" s="563">
        <f t="array" ref="B100">IFERROR(INDEX(_xlfn._xlws.FILTER(INDIRECT(B$1&amp;"!$E1:$E10000"),INDIRECT(B$1&amp;"!$a1:$a10000")=汇总!$A100),COUNTIF(INDIRECT(B$1&amp;"!$a1:$a10000"),汇总!$A100)),B99)</f>
        <v/>
      </c>
      <c r="C100" s="563">
        <f t="array" ref="C100">IFERROR(INDEX(_xlfn._xlws.FILTER(INDIRECT(C$1&amp;"!$E1:$E10000"),INDIRECT(C$1&amp;"!$a1:$a10000")=汇总!$A100),COUNTIF(INDIRECT(C$1&amp;"!$a1:$a10000"),汇总!$A100)),C99)</f>
        <v/>
      </c>
      <c r="D100" s="563">
        <f t="array" ref="D100">IFERROR(INDEX(_xlfn._xlws.FILTER(INDIRECT(D$1&amp;"!$E1:$E10000"),INDIRECT(D$1&amp;"!$a1:$a10000")=汇总!$A100),COUNTIF(INDIRECT(D$1&amp;"!$a1:$a10000"),汇总!$A100)),D99)</f>
        <v/>
      </c>
      <c r="E100" s="563">
        <f t="array" ref="E100">IFERROR(INDEX(_xlfn._xlws.FILTER(INDIRECT(E$1&amp;"!$E1:$E10000"),INDIRECT(E$1&amp;"!$a1:$a10000")=汇总!$A100),COUNTIF(INDIRECT(E$1&amp;"!$a1:$a10000"),汇总!$A100)),E99)</f>
        <v/>
      </c>
      <c r="F100" s="563">
        <f t="array" ref="F100">IFERROR(INDEX(_xlfn._xlws.FILTER(INDIRECT(F$1&amp;"!$E1:$E10000"),INDIRECT(F$1&amp;"!$a1:$a10000")=汇总!$A100),COUNTIF(INDIRECT(F$1&amp;"!$a1:$a10000"),汇总!$A100)),F99)</f>
        <v/>
      </c>
      <c r="G100" s="563">
        <f t="array" ref="G100">IFERROR(INDEX(_xlfn._xlws.FILTER(INDIRECT(G$1&amp;"!$E1:$E10000"),INDIRECT(G$1&amp;"!$a1:$a10000")=汇总!$A100),COUNTIF(INDIRECT(G$1&amp;"!$a1:$a10000"),汇总!$A100)),G99)</f>
        <v/>
      </c>
      <c r="H100" s="563">
        <f t="array" ref="H100">IFERROR(INDEX(_xlfn._xlws.FILTER(INDIRECT(H$1&amp;"!$E1:$E10000"),INDIRECT(H$1&amp;"!$a1:$a10000")=汇总!$A100),COUNTIF(INDIRECT(H$1&amp;"!$a1:$a10000"),汇总!$A100)),H99)</f>
        <v/>
      </c>
      <c r="I100" s="563">
        <f t="array" ref="I100">IFERROR(INDEX(_xlfn._xlws.FILTER(INDIRECT(I$1&amp;"!$E1:$E10000"),INDIRECT(I$1&amp;"!$a1:$a10000")=汇总!$A100),COUNTIF(INDIRECT(I$1&amp;"!$a1:$a10000"),汇总!$A100)),I99)</f>
        <v/>
      </c>
      <c r="J100" s="563">
        <f t="array" ref="J100">IFERROR(INDEX(_xlfn._xlws.FILTER(INDIRECT(J$1&amp;"!$E1:$E10000"),INDIRECT(J$1&amp;"!$a1:$a10000")=汇总!$A100),COUNTIF(INDIRECT(J$1&amp;"!$a1:$a10000"),汇总!$A100)),J99)</f>
        <v/>
      </c>
      <c r="K100" s="563">
        <f t="array" ref="K100">IFERROR(INDEX(_xlfn._xlws.FILTER(INDIRECT(K$1&amp;"!$E1:$E10000"),INDIRECT(K$1&amp;"!$a1:$a10000")=汇总!$A100),COUNTIF(INDIRECT(K$1&amp;"!$a1:$a10000"),汇总!$A100)),K99)</f>
        <v/>
      </c>
      <c r="L100" s="563">
        <f t="array" ref="L100">IFERROR(INDEX(_xlfn._xlws.FILTER(INDIRECT(L$1&amp;"!$E1:$E10000"),INDIRECT(L$1&amp;"!$a1:$a10000")=汇总!$A100),COUNTIF(INDIRECT(L$1&amp;"!$a1:$a10000"),汇总!$A100)),L99)</f>
        <v/>
      </c>
      <c r="M100" s="563">
        <f t="array" ref="M100">IFERROR(INDEX(_xlfn._xlws.FILTER(INDIRECT(M$1&amp;"!$E1:$E10000"),INDIRECT(M$1&amp;"!$a1:$a10000")=汇总!$A100),COUNTIF(INDIRECT(M$1&amp;"!$a1:$a10000"),汇总!$A100)),M99)</f>
        <v/>
      </c>
      <c r="N100" s="563">
        <f t="array" ref="N100">IFERROR(INDEX(_xlfn._xlws.FILTER(INDIRECT(N$1&amp;"!$E1:$E10000"),INDIRECT(N$1&amp;"!$a1:$a10000")=汇总!$A100),COUNTIF(INDIRECT(N$1&amp;"!$a1:$a10000"),汇总!$A100)),N99)</f>
        <v/>
      </c>
      <c r="O100" s="563">
        <f t="array" ref="O100">IFERROR(INDEX(_xlfn._xlws.FILTER(INDIRECT(O$1&amp;"!$E1:$E10000"),INDIRECT(O$1&amp;"!$a1:$a10000")=汇总!$A100),COUNTIF(INDIRECT(O$1&amp;"!$a1:$a10000"),汇总!$A100)),O99)</f>
        <v/>
      </c>
      <c r="P100" s="563">
        <f t="array" ref="P100">IFERROR(INDEX(_xlfn._xlws.FILTER(INDIRECT(P$1&amp;"!$E1:$E10000"),INDIRECT(P$1&amp;"!$a1:$a10000")=汇总!$A100),COUNTIF(INDIRECT(P$1&amp;"!$a1:$a10000"),汇总!$A100)),P99)</f>
        <v/>
      </c>
      <c r="Q100" s="563">
        <f t="array" ref="Q100">IFERROR(INDEX(_xlfn._xlws.FILTER(INDIRECT(Q$1&amp;"!$E1:$E10000"),INDIRECT(Q$1&amp;"!$a1:$a10000")=汇总!$A100),COUNTIF(INDIRECT(Q$1&amp;"!$a1:$a10000"),汇总!$A100)),Q99)</f>
        <v/>
      </c>
      <c r="R100" s="563">
        <f t="array" ref="R100">IFERROR(INDEX(_xlfn._xlws.FILTER(INDIRECT(R$1&amp;"!$E1:$E10000"),INDIRECT(R$1&amp;"!$a1:$a10000")=汇总!$A100),COUNTIF(INDIRECT(R$1&amp;"!$a1:$a10000"),汇总!$A100)),R99)</f>
        <v/>
      </c>
      <c r="S100" s="563">
        <f t="array" ref="S100">IFERROR(INDEX(_xlfn._xlws.FILTER(INDIRECT(S$1&amp;"!$E1:$E10000"),INDIRECT(S$1&amp;"!$a1:$a10000")=汇总!$A100),COUNTIF(INDIRECT(S$1&amp;"!$a1:$a10000"),汇总!$A100)),S99)</f>
        <v/>
      </c>
      <c r="T100" s="563">
        <f t="array" ref="T100">IFERROR(INDEX(_xlfn._xlws.FILTER(INDIRECT(T$1&amp;"!$E1:$E10000"),INDIRECT(T$1&amp;"!$a1:$a10000")=汇总!$A100),COUNTIF(INDIRECT(T$1&amp;"!$a1:$a10000"),汇总!$A100)),T99)</f>
        <v/>
      </c>
    </row>
    <row r="101">
      <c r="A101" s="1">
        <f>+A100+1</f>
        <v/>
      </c>
      <c r="B101" s="563">
        <f t="array" ref="B101">IFERROR(INDEX(_xlfn._xlws.FILTER(INDIRECT(B$1&amp;"!$E1:$E10000"),INDIRECT(B$1&amp;"!$a1:$a10000")=汇总!$A101),COUNTIF(INDIRECT(B$1&amp;"!$a1:$a10000"),汇总!$A101)),B100)</f>
        <v/>
      </c>
      <c r="C101" s="563">
        <f t="array" ref="C101">IFERROR(INDEX(_xlfn._xlws.FILTER(INDIRECT(C$1&amp;"!$E1:$E10000"),INDIRECT(C$1&amp;"!$a1:$a10000")=汇总!$A101),COUNTIF(INDIRECT(C$1&amp;"!$a1:$a10000"),汇总!$A101)),C100)</f>
        <v/>
      </c>
      <c r="D101" s="563">
        <f t="array" ref="D101">IFERROR(INDEX(_xlfn._xlws.FILTER(INDIRECT(D$1&amp;"!$E1:$E10000"),INDIRECT(D$1&amp;"!$a1:$a10000")=汇总!$A101),COUNTIF(INDIRECT(D$1&amp;"!$a1:$a10000"),汇总!$A101)),D100)</f>
        <v/>
      </c>
      <c r="E101" s="563">
        <f t="array" ref="E101">IFERROR(INDEX(_xlfn._xlws.FILTER(INDIRECT(E$1&amp;"!$E1:$E10000"),INDIRECT(E$1&amp;"!$a1:$a10000")=汇总!$A101),COUNTIF(INDIRECT(E$1&amp;"!$a1:$a10000"),汇总!$A101)),E100)</f>
        <v/>
      </c>
      <c r="F101" s="563">
        <f t="array" ref="F101">IFERROR(INDEX(_xlfn._xlws.FILTER(INDIRECT(F$1&amp;"!$E1:$E10000"),INDIRECT(F$1&amp;"!$a1:$a10000")=汇总!$A101),COUNTIF(INDIRECT(F$1&amp;"!$a1:$a10000"),汇总!$A101)),F100)</f>
        <v/>
      </c>
      <c r="G101" s="563">
        <f t="array" ref="G101">IFERROR(INDEX(_xlfn._xlws.FILTER(INDIRECT(G$1&amp;"!$E1:$E10000"),INDIRECT(G$1&amp;"!$a1:$a10000")=汇总!$A101),COUNTIF(INDIRECT(G$1&amp;"!$a1:$a10000"),汇总!$A101)),G100)</f>
        <v/>
      </c>
      <c r="H101" s="563">
        <f t="array" ref="H101">IFERROR(INDEX(_xlfn._xlws.FILTER(INDIRECT(H$1&amp;"!$E1:$E10000"),INDIRECT(H$1&amp;"!$a1:$a10000")=汇总!$A101),COUNTIF(INDIRECT(H$1&amp;"!$a1:$a10000"),汇总!$A101)),H100)</f>
        <v/>
      </c>
      <c r="I101" s="563">
        <f t="array" ref="I101">IFERROR(INDEX(_xlfn._xlws.FILTER(INDIRECT(I$1&amp;"!$E1:$E10000"),INDIRECT(I$1&amp;"!$a1:$a10000")=汇总!$A101),COUNTIF(INDIRECT(I$1&amp;"!$a1:$a10000"),汇总!$A101)),I100)</f>
        <v/>
      </c>
      <c r="J101" s="563">
        <f t="array" ref="J101">IFERROR(INDEX(_xlfn._xlws.FILTER(INDIRECT(J$1&amp;"!$E1:$E10000"),INDIRECT(J$1&amp;"!$a1:$a10000")=汇总!$A101),COUNTIF(INDIRECT(J$1&amp;"!$a1:$a10000"),汇总!$A101)),J100)</f>
        <v/>
      </c>
      <c r="K101" s="563">
        <f t="array" ref="K101">IFERROR(INDEX(_xlfn._xlws.FILTER(INDIRECT(K$1&amp;"!$E1:$E10000"),INDIRECT(K$1&amp;"!$a1:$a10000")=汇总!$A101),COUNTIF(INDIRECT(K$1&amp;"!$a1:$a10000"),汇总!$A101)),K100)</f>
        <v/>
      </c>
      <c r="L101" s="563">
        <f t="array" ref="L101">IFERROR(INDEX(_xlfn._xlws.FILTER(INDIRECT(L$1&amp;"!$E1:$E10000"),INDIRECT(L$1&amp;"!$a1:$a10000")=汇总!$A101),COUNTIF(INDIRECT(L$1&amp;"!$a1:$a10000"),汇总!$A101)),L100)</f>
        <v/>
      </c>
      <c r="M101" s="563">
        <f t="array" ref="M101">IFERROR(INDEX(_xlfn._xlws.FILTER(INDIRECT(M$1&amp;"!$E1:$E10000"),INDIRECT(M$1&amp;"!$a1:$a10000")=汇总!$A101),COUNTIF(INDIRECT(M$1&amp;"!$a1:$a10000"),汇总!$A101)),M100)</f>
        <v/>
      </c>
      <c r="N101" s="563">
        <f t="array" ref="N101">IFERROR(INDEX(_xlfn._xlws.FILTER(INDIRECT(N$1&amp;"!$E1:$E10000"),INDIRECT(N$1&amp;"!$a1:$a10000")=汇总!$A101),COUNTIF(INDIRECT(N$1&amp;"!$a1:$a10000"),汇总!$A101)),N100)</f>
        <v/>
      </c>
      <c r="O101" s="563">
        <f t="array" ref="O101">IFERROR(INDEX(_xlfn._xlws.FILTER(INDIRECT(O$1&amp;"!$E1:$E10000"),INDIRECT(O$1&amp;"!$a1:$a10000")=汇总!$A101),COUNTIF(INDIRECT(O$1&amp;"!$a1:$a10000"),汇总!$A101)),O100)</f>
        <v/>
      </c>
      <c r="P101" s="563">
        <f t="array" ref="P101">IFERROR(INDEX(_xlfn._xlws.FILTER(INDIRECT(P$1&amp;"!$E1:$E10000"),INDIRECT(P$1&amp;"!$a1:$a10000")=汇总!$A101),COUNTIF(INDIRECT(P$1&amp;"!$a1:$a10000"),汇总!$A101)),P100)</f>
        <v/>
      </c>
      <c r="Q101" s="563">
        <f t="array" ref="Q101">IFERROR(INDEX(_xlfn._xlws.FILTER(INDIRECT(Q$1&amp;"!$E1:$E10000"),INDIRECT(Q$1&amp;"!$a1:$a10000")=汇总!$A101),COUNTIF(INDIRECT(Q$1&amp;"!$a1:$a10000"),汇总!$A101)),Q100)</f>
        <v/>
      </c>
      <c r="R101" s="563">
        <f t="array" ref="R101">IFERROR(INDEX(_xlfn._xlws.FILTER(INDIRECT(R$1&amp;"!$E1:$E10000"),INDIRECT(R$1&amp;"!$a1:$a10000")=汇总!$A101),COUNTIF(INDIRECT(R$1&amp;"!$a1:$a10000"),汇总!$A101)),R100)</f>
        <v/>
      </c>
      <c r="S101" s="563">
        <f t="array" ref="S101">IFERROR(INDEX(_xlfn._xlws.FILTER(INDIRECT(S$1&amp;"!$E1:$E10000"),INDIRECT(S$1&amp;"!$a1:$a10000")=汇总!$A101),COUNTIF(INDIRECT(S$1&amp;"!$a1:$a10000"),汇总!$A101)),S100)</f>
        <v/>
      </c>
      <c r="T101" s="563">
        <f t="array" ref="T101">IFERROR(INDEX(_xlfn._xlws.FILTER(INDIRECT(T$1&amp;"!$E1:$E10000"),INDIRECT(T$1&amp;"!$a1:$a10000")=汇总!$A101),COUNTIF(INDIRECT(T$1&amp;"!$a1:$a10000"),汇总!$A101)),T100)</f>
        <v/>
      </c>
    </row>
    <row r="102">
      <c r="A102" s="1">
        <f>+A101+1</f>
        <v/>
      </c>
      <c r="B102" s="563">
        <f t="array" ref="B102">IFERROR(INDEX(_xlfn._xlws.FILTER(INDIRECT(B$1&amp;"!$E1:$E10000"),INDIRECT(B$1&amp;"!$a1:$a10000")=汇总!$A102),COUNTIF(INDIRECT(B$1&amp;"!$a1:$a10000"),汇总!$A102)),B101)</f>
        <v/>
      </c>
      <c r="C102" s="563">
        <f t="array" ref="C102">IFERROR(INDEX(_xlfn._xlws.FILTER(INDIRECT(C$1&amp;"!$E1:$E10000"),INDIRECT(C$1&amp;"!$a1:$a10000")=汇总!$A102),COUNTIF(INDIRECT(C$1&amp;"!$a1:$a10000"),汇总!$A102)),C101)</f>
        <v/>
      </c>
      <c r="D102" s="563">
        <f t="array" ref="D102">IFERROR(INDEX(_xlfn._xlws.FILTER(INDIRECT(D$1&amp;"!$E1:$E10000"),INDIRECT(D$1&amp;"!$a1:$a10000")=汇总!$A102),COUNTIF(INDIRECT(D$1&amp;"!$a1:$a10000"),汇总!$A102)),D101)</f>
        <v/>
      </c>
      <c r="E102" s="563">
        <f t="array" ref="E102">IFERROR(INDEX(_xlfn._xlws.FILTER(INDIRECT(E$1&amp;"!$E1:$E10000"),INDIRECT(E$1&amp;"!$a1:$a10000")=汇总!$A102),COUNTIF(INDIRECT(E$1&amp;"!$a1:$a10000"),汇总!$A102)),E101)</f>
        <v/>
      </c>
      <c r="F102" s="563">
        <f t="array" ref="F102">IFERROR(INDEX(_xlfn._xlws.FILTER(INDIRECT(F$1&amp;"!$E1:$E10000"),INDIRECT(F$1&amp;"!$a1:$a10000")=汇总!$A102),COUNTIF(INDIRECT(F$1&amp;"!$a1:$a10000"),汇总!$A102)),F101)</f>
        <v/>
      </c>
      <c r="G102" s="563">
        <f t="array" ref="G102">IFERROR(INDEX(_xlfn._xlws.FILTER(INDIRECT(G$1&amp;"!$E1:$E10000"),INDIRECT(G$1&amp;"!$a1:$a10000")=汇总!$A102),COUNTIF(INDIRECT(G$1&amp;"!$a1:$a10000"),汇总!$A102)),G101)</f>
        <v/>
      </c>
      <c r="H102" s="563">
        <f t="array" ref="H102">IFERROR(INDEX(_xlfn._xlws.FILTER(INDIRECT(H$1&amp;"!$E1:$E10000"),INDIRECT(H$1&amp;"!$a1:$a10000")=汇总!$A102),COUNTIF(INDIRECT(H$1&amp;"!$a1:$a10000"),汇总!$A102)),H101)</f>
        <v/>
      </c>
      <c r="I102" s="563">
        <f t="array" ref="I102">IFERROR(INDEX(_xlfn._xlws.FILTER(INDIRECT(I$1&amp;"!$E1:$E10000"),INDIRECT(I$1&amp;"!$a1:$a10000")=汇总!$A102),COUNTIF(INDIRECT(I$1&amp;"!$a1:$a10000"),汇总!$A102)),I101)</f>
        <v/>
      </c>
      <c r="J102" s="563">
        <f t="array" ref="J102">IFERROR(INDEX(_xlfn._xlws.FILTER(INDIRECT(J$1&amp;"!$E1:$E10000"),INDIRECT(J$1&amp;"!$a1:$a10000")=汇总!$A102),COUNTIF(INDIRECT(J$1&amp;"!$a1:$a10000"),汇总!$A102)),J101)</f>
        <v/>
      </c>
      <c r="K102" s="563">
        <f t="array" ref="K102">IFERROR(INDEX(_xlfn._xlws.FILTER(INDIRECT(K$1&amp;"!$E1:$E10000"),INDIRECT(K$1&amp;"!$a1:$a10000")=汇总!$A102),COUNTIF(INDIRECT(K$1&amp;"!$a1:$a10000"),汇总!$A102)),K101)</f>
        <v/>
      </c>
      <c r="L102" s="563">
        <f t="array" ref="L102">IFERROR(INDEX(_xlfn._xlws.FILTER(INDIRECT(L$1&amp;"!$E1:$E10000"),INDIRECT(L$1&amp;"!$a1:$a10000")=汇总!$A102),COUNTIF(INDIRECT(L$1&amp;"!$a1:$a10000"),汇总!$A102)),L101)</f>
        <v/>
      </c>
      <c r="M102" s="563">
        <f t="array" ref="M102">IFERROR(INDEX(_xlfn._xlws.FILTER(INDIRECT(M$1&amp;"!$E1:$E10000"),INDIRECT(M$1&amp;"!$a1:$a10000")=汇总!$A102),COUNTIF(INDIRECT(M$1&amp;"!$a1:$a10000"),汇总!$A102)),M101)</f>
        <v/>
      </c>
      <c r="N102" s="563">
        <f t="array" ref="N102">IFERROR(INDEX(_xlfn._xlws.FILTER(INDIRECT(N$1&amp;"!$E1:$E10000"),INDIRECT(N$1&amp;"!$a1:$a10000")=汇总!$A102),COUNTIF(INDIRECT(N$1&amp;"!$a1:$a10000"),汇总!$A102)),N101)</f>
        <v/>
      </c>
      <c r="O102" s="563">
        <f t="array" ref="O102">IFERROR(INDEX(_xlfn._xlws.FILTER(INDIRECT(O$1&amp;"!$E1:$E10000"),INDIRECT(O$1&amp;"!$a1:$a10000")=汇总!$A102),COUNTIF(INDIRECT(O$1&amp;"!$a1:$a10000"),汇总!$A102)),O101)</f>
        <v/>
      </c>
      <c r="P102" s="563">
        <f t="array" ref="P102">IFERROR(INDEX(_xlfn._xlws.FILTER(INDIRECT(P$1&amp;"!$E1:$E10000"),INDIRECT(P$1&amp;"!$a1:$a10000")=汇总!$A102),COUNTIF(INDIRECT(P$1&amp;"!$a1:$a10000"),汇总!$A102)),P101)</f>
        <v/>
      </c>
      <c r="Q102" s="563">
        <f t="array" ref="Q102">IFERROR(INDEX(_xlfn._xlws.FILTER(INDIRECT(Q$1&amp;"!$E1:$E10000"),INDIRECT(Q$1&amp;"!$a1:$a10000")=汇总!$A102),COUNTIF(INDIRECT(Q$1&amp;"!$a1:$a10000"),汇总!$A102)),Q101)</f>
        <v/>
      </c>
      <c r="R102" s="563">
        <f t="array" ref="R102">IFERROR(INDEX(_xlfn._xlws.FILTER(INDIRECT(R$1&amp;"!$E1:$E10000"),INDIRECT(R$1&amp;"!$a1:$a10000")=汇总!$A102),COUNTIF(INDIRECT(R$1&amp;"!$a1:$a10000"),汇总!$A102)),R101)</f>
        <v/>
      </c>
      <c r="S102" s="563">
        <f t="array" ref="S102">IFERROR(INDEX(_xlfn._xlws.FILTER(INDIRECT(S$1&amp;"!$E1:$E10000"),INDIRECT(S$1&amp;"!$a1:$a10000")=汇总!$A102),COUNTIF(INDIRECT(S$1&amp;"!$a1:$a10000"),汇总!$A102)),S101)</f>
        <v/>
      </c>
      <c r="T102" s="563">
        <f t="array" ref="T102">IFERROR(INDEX(_xlfn._xlws.FILTER(INDIRECT(T$1&amp;"!$E1:$E10000"),INDIRECT(T$1&amp;"!$a1:$a10000")=汇总!$A102),COUNTIF(INDIRECT(T$1&amp;"!$a1:$a10000"),汇总!$A102)),T101)</f>
        <v/>
      </c>
    </row>
    <row r="103">
      <c r="A103" s="1">
        <f>+A102+1</f>
        <v/>
      </c>
      <c r="B103" s="563">
        <f t="array" ref="B103">IFERROR(INDEX(_xlfn._xlws.FILTER(INDIRECT(B$1&amp;"!$E1:$E10000"),INDIRECT(B$1&amp;"!$a1:$a10000")=汇总!$A103),COUNTIF(INDIRECT(B$1&amp;"!$a1:$a10000"),汇总!$A103)),B102)</f>
        <v/>
      </c>
      <c r="C103" s="563">
        <f t="array" ref="C103">IFERROR(INDEX(_xlfn._xlws.FILTER(INDIRECT(C$1&amp;"!$E1:$E10000"),INDIRECT(C$1&amp;"!$a1:$a10000")=汇总!$A103),COUNTIF(INDIRECT(C$1&amp;"!$a1:$a10000"),汇总!$A103)),C102)</f>
        <v/>
      </c>
      <c r="D103" s="563">
        <f t="array" ref="D103">IFERROR(INDEX(_xlfn._xlws.FILTER(INDIRECT(D$1&amp;"!$E1:$E10000"),INDIRECT(D$1&amp;"!$a1:$a10000")=汇总!$A103),COUNTIF(INDIRECT(D$1&amp;"!$a1:$a10000"),汇总!$A103)),D102)</f>
        <v/>
      </c>
      <c r="E103" s="563">
        <f t="array" ref="E103">IFERROR(INDEX(_xlfn._xlws.FILTER(INDIRECT(E$1&amp;"!$E1:$E10000"),INDIRECT(E$1&amp;"!$a1:$a10000")=汇总!$A103),COUNTIF(INDIRECT(E$1&amp;"!$a1:$a10000"),汇总!$A103)),E102)</f>
        <v/>
      </c>
      <c r="F103" s="563">
        <f t="array" ref="F103">IFERROR(INDEX(_xlfn._xlws.FILTER(INDIRECT(F$1&amp;"!$E1:$E10000"),INDIRECT(F$1&amp;"!$a1:$a10000")=汇总!$A103),COUNTIF(INDIRECT(F$1&amp;"!$a1:$a10000"),汇总!$A103)),F102)</f>
        <v/>
      </c>
      <c r="G103" s="563">
        <f t="array" ref="G103">IFERROR(INDEX(_xlfn._xlws.FILTER(INDIRECT(G$1&amp;"!$E1:$E10000"),INDIRECT(G$1&amp;"!$a1:$a10000")=汇总!$A103),COUNTIF(INDIRECT(G$1&amp;"!$a1:$a10000"),汇总!$A103)),G102)</f>
        <v/>
      </c>
      <c r="H103" s="563">
        <f t="array" ref="H103">IFERROR(INDEX(_xlfn._xlws.FILTER(INDIRECT(H$1&amp;"!$E1:$E10000"),INDIRECT(H$1&amp;"!$a1:$a10000")=汇总!$A103),COUNTIF(INDIRECT(H$1&amp;"!$a1:$a10000"),汇总!$A103)),H102)</f>
        <v/>
      </c>
      <c r="I103" s="563">
        <f t="array" ref="I103">IFERROR(INDEX(_xlfn._xlws.FILTER(INDIRECT(I$1&amp;"!$E1:$E10000"),INDIRECT(I$1&amp;"!$a1:$a10000")=汇总!$A103),COUNTIF(INDIRECT(I$1&amp;"!$a1:$a10000"),汇总!$A103)),I102)</f>
        <v/>
      </c>
      <c r="J103" s="563">
        <f t="array" ref="J103">IFERROR(INDEX(_xlfn._xlws.FILTER(INDIRECT(J$1&amp;"!$E1:$E10000"),INDIRECT(J$1&amp;"!$a1:$a10000")=汇总!$A103),COUNTIF(INDIRECT(J$1&amp;"!$a1:$a10000"),汇总!$A103)),J102)</f>
        <v/>
      </c>
      <c r="K103" s="563">
        <f t="array" ref="K103">IFERROR(INDEX(_xlfn._xlws.FILTER(INDIRECT(K$1&amp;"!$E1:$E10000"),INDIRECT(K$1&amp;"!$a1:$a10000")=汇总!$A103),COUNTIF(INDIRECT(K$1&amp;"!$a1:$a10000"),汇总!$A103)),K102)</f>
        <v/>
      </c>
      <c r="L103" s="563">
        <f t="array" ref="L103">IFERROR(INDEX(_xlfn._xlws.FILTER(INDIRECT(L$1&amp;"!$E1:$E10000"),INDIRECT(L$1&amp;"!$a1:$a10000")=汇总!$A103),COUNTIF(INDIRECT(L$1&amp;"!$a1:$a10000"),汇总!$A103)),L102)</f>
        <v/>
      </c>
      <c r="M103" s="563">
        <f t="array" ref="M103">IFERROR(INDEX(_xlfn._xlws.FILTER(INDIRECT(M$1&amp;"!$E1:$E10000"),INDIRECT(M$1&amp;"!$a1:$a10000")=汇总!$A103),COUNTIF(INDIRECT(M$1&amp;"!$a1:$a10000"),汇总!$A103)),M102)</f>
        <v/>
      </c>
      <c r="N103" s="563">
        <f t="array" ref="N103">IFERROR(INDEX(_xlfn._xlws.FILTER(INDIRECT(N$1&amp;"!$E1:$E10000"),INDIRECT(N$1&amp;"!$a1:$a10000")=汇总!$A103),COUNTIF(INDIRECT(N$1&amp;"!$a1:$a10000"),汇总!$A103)),N102)</f>
        <v/>
      </c>
      <c r="O103" s="563">
        <f t="array" ref="O103">IFERROR(INDEX(_xlfn._xlws.FILTER(INDIRECT(O$1&amp;"!$E1:$E10000"),INDIRECT(O$1&amp;"!$a1:$a10000")=汇总!$A103),COUNTIF(INDIRECT(O$1&amp;"!$a1:$a10000"),汇总!$A103)),O102)</f>
        <v/>
      </c>
      <c r="P103" s="563">
        <f t="array" ref="P103">IFERROR(INDEX(_xlfn._xlws.FILTER(INDIRECT(P$1&amp;"!$E1:$E10000"),INDIRECT(P$1&amp;"!$a1:$a10000")=汇总!$A103),COUNTIF(INDIRECT(P$1&amp;"!$a1:$a10000"),汇总!$A103)),P102)</f>
        <v/>
      </c>
      <c r="Q103" s="563">
        <f t="array" ref="Q103">IFERROR(INDEX(_xlfn._xlws.FILTER(INDIRECT(Q$1&amp;"!$E1:$E10000"),INDIRECT(Q$1&amp;"!$a1:$a10000")=汇总!$A103),COUNTIF(INDIRECT(Q$1&amp;"!$a1:$a10000"),汇总!$A103)),Q102)</f>
        <v/>
      </c>
      <c r="R103" s="563">
        <f t="array" ref="R103">IFERROR(INDEX(_xlfn._xlws.FILTER(INDIRECT(R$1&amp;"!$E1:$E10000"),INDIRECT(R$1&amp;"!$a1:$a10000")=汇总!$A103),COUNTIF(INDIRECT(R$1&amp;"!$a1:$a10000"),汇总!$A103)),R102)</f>
        <v/>
      </c>
      <c r="S103" s="563">
        <f t="array" ref="S103">IFERROR(INDEX(_xlfn._xlws.FILTER(INDIRECT(S$1&amp;"!$E1:$E10000"),INDIRECT(S$1&amp;"!$a1:$a10000")=汇总!$A103),COUNTIF(INDIRECT(S$1&amp;"!$a1:$a10000"),汇总!$A103)),S102)</f>
        <v/>
      </c>
      <c r="T103" s="563">
        <f t="array" ref="T103">IFERROR(INDEX(_xlfn._xlws.FILTER(INDIRECT(T$1&amp;"!$E1:$E10000"),INDIRECT(T$1&amp;"!$a1:$a10000")=汇总!$A103),COUNTIF(INDIRECT(T$1&amp;"!$a1:$a10000"),汇总!$A103)),T102)</f>
        <v/>
      </c>
    </row>
    <row r="104">
      <c r="A104" s="1">
        <f>+A103+1</f>
        <v/>
      </c>
      <c r="B104" s="563">
        <f t="array" ref="B104">IFERROR(INDEX(_xlfn._xlws.FILTER(INDIRECT(B$1&amp;"!$E1:$E10000"),INDIRECT(B$1&amp;"!$a1:$a10000")=汇总!$A104),COUNTIF(INDIRECT(B$1&amp;"!$a1:$a10000"),汇总!$A104)),B103)</f>
        <v/>
      </c>
      <c r="C104" s="563">
        <f t="array" ref="C104">IFERROR(INDEX(_xlfn._xlws.FILTER(INDIRECT(C$1&amp;"!$E1:$E10000"),INDIRECT(C$1&amp;"!$a1:$a10000")=汇总!$A104),COUNTIF(INDIRECT(C$1&amp;"!$a1:$a10000"),汇总!$A104)),C103)</f>
        <v/>
      </c>
      <c r="D104" s="563">
        <f t="array" ref="D104">IFERROR(INDEX(_xlfn._xlws.FILTER(INDIRECT(D$1&amp;"!$E1:$E10000"),INDIRECT(D$1&amp;"!$a1:$a10000")=汇总!$A104),COUNTIF(INDIRECT(D$1&amp;"!$a1:$a10000"),汇总!$A104)),D103)</f>
        <v/>
      </c>
      <c r="E104" s="563">
        <f t="array" ref="E104">IFERROR(INDEX(_xlfn._xlws.FILTER(INDIRECT(E$1&amp;"!$E1:$E10000"),INDIRECT(E$1&amp;"!$a1:$a10000")=汇总!$A104),COUNTIF(INDIRECT(E$1&amp;"!$a1:$a10000"),汇总!$A104)),E103)</f>
        <v/>
      </c>
      <c r="F104" s="563">
        <f t="array" ref="F104">IFERROR(INDEX(_xlfn._xlws.FILTER(INDIRECT(F$1&amp;"!$E1:$E10000"),INDIRECT(F$1&amp;"!$a1:$a10000")=汇总!$A104),COUNTIF(INDIRECT(F$1&amp;"!$a1:$a10000"),汇总!$A104)),F103)</f>
        <v/>
      </c>
      <c r="G104" s="563">
        <f t="array" ref="G104">IFERROR(INDEX(_xlfn._xlws.FILTER(INDIRECT(G$1&amp;"!$E1:$E10000"),INDIRECT(G$1&amp;"!$a1:$a10000")=汇总!$A104),COUNTIF(INDIRECT(G$1&amp;"!$a1:$a10000"),汇总!$A104)),G103)</f>
        <v/>
      </c>
      <c r="H104" s="563">
        <f t="array" ref="H104">IFERROR(INDEX(_xlfn._xlws.FILTER(INDIRECT(H$1&amp;"!$E1:$E10000"),INDIRECT(H$1&amp;"!$a1:$a10000")=汇总!$A104),COUNTIF(INDIRECT(H$1&amp;"!$a1:$a10000"),汇总!$A104)),H103)</f>
        <v/>
      </c>
      <c r="I104" s="563">
        <f t="array" ref="I104">IFERROR(INDEX(_xlfn._xlws.FILTER(INDIRECT(I$1&amp;"!$E1:$E10000"),INDIRECT(I$1&amp;"!$a1:$a10000")=汇总!$A104),COUNTIF(INDIRECT(I$1&amp;"!$a1:$a10000"),汇总!$A104)),I103)</f>
        <v/>
      </c>
      <c r="J104" s="563">
        <f t="array" ref="J104">IFERROR(INDEX(_xlfn._xlws.FILTER(INDIRECT(J$1&amp;"!$E1:$E10000"),INDIRECT(J$1&amp;"!$a1:$a10000")=汇总!$A104),COUNTIF(INDIRECT(J$1&amp;"!$a1:$a10000"),汇总!$A104)),J103)</f>
        <v/>
      </c>
      <c r="K104" s="563">
        <f t="array" ref="K104">IFERROR(INDEX(_xlfn._xlws.FILTER(INDIRECT(K$1&amp;"!$E1:$E10000"),INDIRECT(K$1&amp;"!$a1:$a10000")=汇总!$A104),COUNTIF(INDIRECT(K$1&amp;"!$a1:$a10000"),汇总!$A104)),K103)</f>
        <v/>
      </c>
      <c r="L104" s="563">
        <f t="array" ref="L104">IFERROR(INDEX(_xlfn._xlws.FILTER(INDIRECT(L$1&amp;"!$E1:$E10000"),INDIRECT(L$1&amp;"!$a1:$a10000")=汇总!$A104),COUNTIF(INDIRECT(L$1&amp;"!$a1:$a10000"),汇总!$A104)),L103)</f>
        <v/>
      </c>
      <c r="M104" s="563">
        <f t="array" ref="M104">IFERROR(INDEX(_xlfn._xlws.FILTER(INDIRECT(M$1&amp;"!$E1:$E10000"),INDIRECT(M$1&amp;"!$a1:$a10000")=汇总!$A104),COUNTIF(INDIRECT(M$1&amp;"!$a1:$a10000"),汇总!$A104)),M103)</f>
        <v/>
      </c>
      <c r="N104" s="563">
        <f t="array" ref="N104">IFERROR(INDEX(_xlfn._xlws.FILTER(INDIRECT(N$1&amp;"!$E1:$E10000"),INDIRECT(N$1&amp;"!$a1:$a10000")=汇总!$A104),COUNTIF(INDIRECT(N$1&amp;"!$a1:$a10000"),汇总!$A104)),N103)</f>
        <v/>
      </c>
      <c r="O104" s="563">
        <f t="array" ref="O104">IFERROR(INDEX(_xlfn._xlws.FILTER(INDIRECT(O$1&amp;"!$E1:$E10000"),INDIRECT(O$1&amp;"!$a1:$a10000")=汇总!$A104),COUNTIF(INDIRECT(O$1&amp;"!$a1:$a10000"),汇总!$A104)),O103)</f>
        <v/>
      </c>
      <c r="P104" s="563">
        <f t="array" ref="P104">IFERROR(INDEX(_xlfn._xlws.FILTER(INDIRECT(P$1&amp;"!$E1:$E10000"),INDIRECT(P$1&amp;"!$a1:$a10000")=汇总!$A104),COUNTIF(INDIRECT(P$1&amp;"!$a1:$a10000"),汇总!$A104)),P103)</f>
        <v/>
      </c>
      <c r="Q104" s="563">
        <f t="array" ref="Q104">IFERROR(INDEX(_xlfn._xlws.FILTER(INDIRECT(Q$1&amp;"!$E1:$E10000"),INDIRECT(Q$1&amp;"!$a1:$a10000")=汇总!$A104),COUNTIF(INDIRECT(Q$1&amp;"!$a1:$a10000"),汇总!$A104)),Q103)</f>
        <v/>
      </c>
      <c r="R104" s="563">
        <f t="array" ref="R104">IFERROR(INDEX(_xlfn._xlws.FILTER(INDIRECT(R$1&amp;"!$E1:$E10000"),INDIRECT(R$1&amp;"!$a1:$a10000")=汇总!$A104),COUNTIF(INDIRECT(R$1&amp;"!$a1:$a10000"),汇总!$A104)),R103)</f>
        <v/>
      </c>
      <c r="S104" s="563">
        <f t="array" ref="S104">IFERROR(INDEX(_xlfn._xlws.FILTER(INDIRECT(S$1&amp;"!$E1:$E10000"),INDIRECT(S$1&amp;"!$a1:$a10000")=汇总!$A104),COUNTIF(INDIRECT(S$1&amp;"!$a1:$a10000"),汇总!$A104)),S103)</f>
        <v/>
      </c>
      <c r="T104" s="563">
        <f t="array" ref="T104">IFERROR(INDEX(_xlfn._xlws.FILTER(INDIRECT(T$1&amp;"!$E1:$E10000"),INDIRECT(T$1&amp;"!$a1:$a10000")=汇总!$A104),COUNTIF(INDIRECT(T$1&amp;"!$a1:$a10000"),汇总!$A104)),T103)</f>
        <v/>
      </c>
    </row>
    <row r="105">
      <c r="A105" s="1">
        <f>+A104+1</f>
        <v/>
      </c>
      <c r="B105" s="563">
        <f t="array" ref="B105">IFERROR(INDEX(_xlfn._xlws.FILTER(INDIRECT(B$1&amp;"!$E1:$E10000"),INDIRECT(B$1&amp;"!$a1:$a10000")=汇总!$A105),COUNTIF(INDIRECT(B$1&amp;"!$a1:$a10000"),汇总!$A105)),B104)</f>
        <v/>
      </c>
      <c r="C105" s="563">
        <f t="array" ref="C105">IFERROR(INDEX(_xlfn._xlws.FILTER(INDIRECT(C$1&amp;"!$E1:$E10000"),INDIRECT(C$1&amp;"!$a1:$a10000")=汇总!$A105),COUNTIF(INDIRECT(C$1&amp;"!$a1:$a10000"),汇总!$A105)),C104)</f>
        <v/>
      </c>
      <c r="D105" s="563">
        <f t="array" ref="D105">IFERROR(INDEX(_xlfn._xlws.FILTER(INDIRECT(D$1&amp;"!$E1:$E10000"),INDIRECT(D$1&amp;"!$a1:$a10000")=汇总!$A105),COUNTIF(INDIRECT(D$1&amp;"!$a1:$a10000"),汇总!$A105)),D104)</f>
        <v/>
      </c>
      <c r="E105" s="563">
        <f t="array" ref="E105">IFERROR(INDEX(_xlfn._xlws.FILTER(INDIRECT(E$1&amp;"!$E1:$E10000"),INDIRECT(E$1&amp;"!$a1:$a10000")=汇总!$A105),COUNTIF(INDIRECT(E$1&amp;"!$a1:$a10000"),汇总!$A105)),E104)</f>
        <v/>
      </c>
      <c r="F105" s="563">
        <f t="array" ref="F105">IFERROR(INDEX(_xlfn._xlws.FILTER(INDIRECT(F$1&amp;"!$E1:$E10000"),INDIRECT(F$1&amp;"!$a1:$a10000")=汇总!$A105),COUNTIF(INDIRECT(F$1&amp;"!$a1:$a10000"),汇总!$A105)),F104)</f>
        <v/>
      </c>
      <c r="G105" s="563">
        <f t="array" ref="G105">IFERROR(INDEX(_xlfn._xlws.FILTER(INDIRECT(G$1&amp;"!$E1:$E10000"),INDIRECT(G$1&amp;"!$a1:$a10000")=汇总!$A105),COUNTIF(INDIRECT(G$1&amp;"!$a1:$a10000"),汇总!$A105)),G104)</f>
        <v/>
      </c>
      <c r="H105" s="563">
        <f t="array" ref="H105">IFERROR(INDEX(_xlfn._xlws.FILTER(INDIRECT(H$1&amp;"!$E1:$E10000"),INDIRECT(H$1&amp;"!$a1:$a10000")=汇总!$A105),COUNTIF(INDIRECT(H$1&amp;"!$a1:$a10000"),汇总!$A105)),H104)</f>
        <v/>
      </c>
      <c r="I105" s="563">
        <f t="array" ref="I105">IFERROR(INDEX(_xlfn._xlws.FILTER(INDIRECT(I$1&amp;"!$E1:$E10000"),INDIRECT(I$1&amp;"!$a1:$a10000")=汇总!$A105),COUNTIF(INDIRECT(I$1&amp;"!$a1:$a10000"),汇总!$A105)),I104)</f>
        <v/>
      </c>
      <c r="J105" s="563">
        <f t="array" ref="J105">IFERROR(INDEX(_xlfn._xlws.FILTER(INDIRECT(J$1&amp;"!$E1:$E10000"),INDIRECT(J$1&amp;"!$a1:$a10000")=汇总!$A105),COUNTIF(INDIRECT(J$1&amp;"!$a1:$a10000"),汇总!$A105)),J104)</f>
        <v/>
      </c>
      <c r="K105" s="563">
        <f t="array" ref="K105">IFERROR(INDEX(_xlfn._xlws.FILTER(INDIRECT(K$1&amp;"!$E1:$E10000"),INDIRECT(K$1&amp;"!$a1:$a10000")=汇总!$A105),COUNTIF(INDIRECT(K$1&amp;"!$a1:$a10000"),汇总!$A105)),K104)</f>
        <v/>
      </c>
      <c r="L105" s="563">
        <f t="array" ref="L105">IFERROR(INDEX(_xlfn._xlws.FILTER(INDIRECT(L$1&amp;"!$E1:$E10000"),INDIRECT(L$1&amp;"!$a1:$a10000")=汇总!$A105),COUNTIF(INDIRECT(L$1&amp;"!$a1:$a10000"),汇总!$A105)),L104)</f>
        <v/>
      </c>
      <c r="M105" s="563">
        <f t="array" ref="M105">IFERROR(INDEX(_xlfn._xlws.FILTER(INDIRECT(M$1&amp;"!$E1:$E10000"),INDIRECT(M$1&amp;"!$a1:$a10000")=汇总!$A105),COUNTIF(INDIRECT(M$1&amp;"!$a1:$a10000"),汇总!$A105)),M104)</f>
        <v/>
      </c>
      <c r="N105" s="563">
        <f t="array" ref="N105">IFERROR(INDEX(_xlfn._xlws.FILTER(INDIRECT(N$1&amp;"!$E1:$E10000"),INDIRECT(N$1&amp;"!$a1:$a10000")=汇总!$A105),COUNTIF(INDIRECT(N$1&amp;"!$a1:$a10000"),汇总!$A105)),N104)</f>
        <v/>
      </c>
      <c r="O105" s="563">
        <f t="array" ref="O105">IFERROR(INDEX(_xlfn._xlws.FILTER(INDIRECT(O$1&amp;"!$E1:$E10000"),INDIRECT(O$1&amp;"!$a1:$a10000")=汇总!$A105),COUNTIF(INDIRECT(O$1&amp;"!$a1:$a10000"),汇总!$A105)),O104)</f>
        <v/>
      </c>
      <c r="P105" s="563">
        <f t="array" ref="P105">IFERROR(INDEX(_xlfn._xlws.FILTER(INDIRECT(P$1&amp;"!$E1:$E10000"),INDIRECT(P$1&amp;"!$a1:$a10000")=汇总!$A105),COUNTIF(INDIRECT(P$1&amp;"!$a1:$a10000"),汇总!$A105)),P104)</f>
        <v/>
      </c>
      <c r="Q105" s="563">
        <f t="array" ref="Q105">IFERROR(INDEX(_xlfn._xlws.FILTER(INDIRECT(Q$1&amp;"!$E1:$E10000"),INDIRECT(Q$1&amp;"!$a1:$a10000")=汇总!$A105),COUNTIF(INDIRECT(Q$1&amp;"!$a1:$a10000"),汇总!$A105)),Q104)</f>
        <v/>
      </c>
      <c r="R105" s="563">
        <f t="array" ref="R105">IFERROR(INDEX(_xlfn._xlws.FILTER(INDIRECT(R$1&amp;"!$E1:$E10000"),INDIRECT(R$1&amp;"!$a1:$a10000")=汇总!$A105),COUNTIF(INDIRECT(R$1&amp;"!$a1:$a10000"),汇总!$A105)),R104)</f>
        <v/>
      </c>
      <c r="S105" s="563">
        <f t="array" ref="S105">IFERROR(INDEX(_xlfn._xlws.FILTER(INDIRECT(S$1&amp;"!$E1:$E10000"),INDIRECT(S$1&amp;"!$a1:$a10000")=汇总!$A105),COUNTIF(INDIRECT(S$1&amp;"!$a1:$a10000"),汇总!$A105)),S104)</f>
        <v/>
      </c>
      <c r="T105" s="563">
        <f t="array" ref="T105">IFERROR(INDEX(_xlfn._xlws.FILTER(INDIRECT(T$1&amp;"!$E1:$E10000"),INDIRECT(T$1&amp;"!$a1:$a10000")=汇总!$A105),COUNTIF(INDIRECT(T$1&amp;"!$a1:$a10000"),汇总!$A105)),T104)</f>
        <v/>
      </c>
    </row>
    <row r="106">
      <c r="A106" s="1">
        <f>+A105+1</f>
        <v/>
      </c>
      <c r="B106" s="563">
        <f t="array" ref="B106">IFERROR(INDEX(_xlfn._xlws.FILTER(INDIRECT(B$1&amp;"!$E1:$E10000"),INDIRECT(B$1&amp;"!$a1:$a10000")=汇总!$A106),COUNTIF(INDIRECT(B$1&amp;"!$a1:$a10000"),汇总!$A106)),B105)</f>
        <v/>
      </c>
      <c r="C106" s="563">
        <f t="array" ref="C106">IFERROR(INDEX(_xlfn._xlws.FILTER(INDIRECT(C$1&amp;"!$E1:$E10000"),INDIRECT(C$1&amp;"!$a1:$a10000")=汇总!$A106),COUNTIF(INDIRECT(C$1&amp;"!$a1:$a10000"),汇总!$A106)),C105)</f>
        <v/>
      </c>
      <c r="D106" s="563">
        <f t="array" ref="D106">IFERROR(INDEX(_xlfn._xlws.FILTER(INDIRECT(D$1&amp;"!$E1:$E10000"),INDIRECT(D$1&amp;"!$a1:$a10000")=汇总!$A106),COUNTIF(INDIRECT(D$1&amp;"!$a1:$a10000"),汇总!$A106)),D105)</f>
        <v/>
      </c>
      <c r="E106" s="563">
        <f t="array" ref="E106">IFERROR(INDEX(_xlfn._xlws.FILTER(INDIRECT(E$1&amp;"!$E1:$E10000"),INDIRECT(E$1&amp;"!$a1:$a10000")=汇总!$A106),COUNTIF(INDIRECT(E$1&amp;"!$a1:$a10000"),汇总!$A106)),E105)</f>
        <v/>
      </c>
      <c r="F106" s="563">
        <f t="array" ref="F106">IFERROR(INDEX(_xlfn._xlws.FILTER(INDIRECT(F$1&amp;"!$E1:$E10000"),INDIRECT(F$1&amp;"!$a1:$a10000")=汇总!$A106),COUNTIF(INDIRECT(F$1&amp;"!$a1:$a10000"),汇总!$A106)),F105)</f>
        <v/>
      </c>
      <c r="G106" s="563">
        <f t="array" ref="G106">IFERROR(INDEX(_xlfn._xlws.FILTER(INDIRECT(G$1&amp;"!$E1:$E10000"),INDIRECT(G$1&amp;"!$a1:$a10000")=汇总!$A106),COUNTIF(INDIRECT(G$1&amp;"!$a1:$a10000"),汇总!$A106)),G105)</f>
        <v/>
      </c>
      <c r="H106" s="563">
        <f t="array" ref="H106">IFERROR(INDEX(_xlfn._xlws.FILTER(INDIRECT(H$1&amp;"!$E1:$E10000"),INDIRECT(H$1&amp;"!$a1:$a10000")=汇总!$A106),COUNTIF(INDIRECT(H$1&amp;"!$a1:$a10000"),汇总!$A106)),H105)</f>
        <v/>
      </c>
      <c r="I106" s="563">
        <f t="array" ref="I106">IFERROR(INDEX(_xlfn._xlws.FILTER(INDIRECT(I$1&amp;"!$E1:$E10000"),INDIRECT(I$1&amp;"!$a1:$a10000")=汇总!$A106),COUNTIF(INDIRECT(I$1&amp;"!$a1:$a10000"),汇总!$A106)),I105)</f>
        <v/>
      </c>
      <c r="J106" s="563">
        <f t="array" ref="J106">IFERROR(INDEX(_xlfn._xlws.FILTER(INDIRECT(J$1&amp;"!$E1:$E10000"),INDIRECT(J$1&amp;"!$a1:$a10000")=汇总!$A106),COUNTIF(INDIRECT(J$1&amp;"!$a1:$a10000"),汇总!$A106)),J105)</f>
        <v/>
      </c>
      <c r="K106" s="563">
        <f t="array" ref="K106">IFERROR(INDEX(_xlfn._xlws.FILTER(INDIRECT(K$1&amp;"!$E1:$E10000"),INDIRECT(K$1&amp;"!$a1:$a10000")=汇总!$A106),COUNTIF(INDIRECT(K$1&amp;"!$a1:$a10000"),汇总!$A106)),K105)</f>
        <v/>
      </c>
      <c r="L106" s="563">
        <f t="array" ref="L106">IFERROR(INDEX(_xlfn._xlws.FILTER(INDIRECT(L$1&amp;"!$E1:$E10000"),INDIRECT(L$1&amp;"!$a1:$a10000")=汇总!$A106),COUNTIF(INDIRECT(L$1&amp;"!$a1:$a10000"),汇总!$A106)),L105)</f>
        <v/>
      </c>
      <c r="M106" s="563">
        <f t="array" ref="M106">IFERROR(INDEX(_xlfn._xlws.FILTER(INDIRECT(M$1&amp;"!$E1:$E10000"),INDIRECT(M$1&amp;"!$a1:$a10000")=汇总!$A106),COUNTIF(INDIRECT(M$1&amp;"!$a1:$a10000"),汇总!$A106)),M105)</f>
        <v/>
      </c>
      <c r="N106" s="563">
        <f t="array" ref="N106">IFERROR(INDEX(_xlfn._xlws.FILTER(INDIRECT(N$1&amp;"!$E1:$E10000"),INDIRECT(N$1&amp;"!$a1:$a10000")=汇总!$A106),COUNTIF(INDIRECT(N$1&amp;"!$a1:$a10000"),汇总!$A106)),N105)</f>
        <v/>
      </c>
      <c r="O106" s="563">
        <f t="array" ref="O106">IFERROR(INDEX(_xlfn._xlws.FILTER(INDIRECT(O$1&amp;"!$E1:$E10000"),INDIRECT(O$1&amp;"!$a1:$a10000")=汇总!$A106),COUNTIF(INDIRECT(O$1&amp;"!$a1:$a10000"),汇总!$A106)),O105)</f>
        <v/>
      </c>
      <c r="P106" s="563">
        <f t="array" ref="P106">IFERROR(INDEX(_xlfn._xlws.FILTER(INDIRECT(P$1&amp;"!$E1:$E10000"),INDIRECT(P$1&amp;"!$a1:$a10000")=汇总!$A106),COUNTIF(INDIRECT(P$1&amp;"!$a1:$a10000"),汇总!$A106)),P105)</f>
        <v/>
      </c>
      <c r="Q106" s="563">
        <f t="array" ref="Q106">IFERROR(INDEX(_xlfn._xlws.FILTER(INDIRECT(Q$1&amp;"!$E1:$E10000"),INDIRECT(Q$1&amp;"!$a1:$a10000")=汇总!$A106),COUNTIF(INDIRECT(Q$1&amp;"!$a1:$a10000"),汇总!$A106)),Q105)</f>
        <v/>
      </c>
      <c r="R106" s="563">
        <f t="array" ref="R106">IFERROR(INDEX(_xlfn._xlws.FILTER(INDIRECT(R$1&amp;"!$E1:$E10000"),INDIRECT(R$1&amp;"!$a1:$a10000")=汇总!$A106),COUNTIF(INDIRECT(R$1&amp;"!$a1:$a10000"),汇总!$A106)),R105)</f>
        <v/>
      </c>
      <c r="S106" s="563">
        <f t="array" ref="S106">IFERROR(INDEX(_xlfn._xlws.FILTER(INDIRECT(S$1&amp;"!$E1:$E10000"),INDIRECT(S$1&amp;"!$a1:$a10000")=汇总!$A106),COUNTIF(INDIRECT(S$1&amp;"!$a1:$a10000"),汇总!$A106)),S105)</f>
        <v/>
      </c>
      <c r="T106" s="563">
        <f t="array" ref="T106">IFERROR(INDEX(_xlfn._xlws.FILTER(INDIRECT(T$1&amp;"!$E1:$E10000"),INDIRECT(T$1&amp;"!$a1:$a10000")=汇总!$A106),COUNTIF(INDIRECT(T$1&amp;"!$a1:$a10000"),汇总!$A106)),T105)</f>
        <v/>
      </c>
    </row>
    <row r="107">
      <c r="A107" s="1">
        <f>+A106+1</f>
        <v/>
      </c>
      <c r="B107" s="563">
        <f t="array" ref="B107">IFERROR(INDEX(_xlfn._xlws.FILTER(INDIRECT(B$1&amp;"!$E1:$E10000"),INDIRECT(B$1&amp;"!$a1:$a10000")=汇总!$A107),COUNTIF(INDIRECT(B$1&amp;"!$a1:$a10000"),汇总!$A107)),B106)</f>
        <v/>
      </c>
      <c r="C107" s="563">
        <f t="array" ref="C107">IFERROR(INDEX(_xlfn._xlws.FILTER(INDIRECT(C$1&amp;"!$E1:$E10000"),INDIRECT(C$1&amp;"!$a1:$a10000")=汇总!$A107),COUNTIF(INDIRECT(C$1&amp;"!$a1:$a10000"),汇总!$A107)),C106)</f>
        <v/>
      </c>
      <c r="D107" s="563">
        <f t="array" ref="D107">IFERROR(INDEX(_xlfn._xlws.FILTER(INDIRECT(D$1&amp;"!$E1:$E10000"),INDIRECT(D$1&amp;"!$a1:$a10000")=汇总!$A107),COUNTIF(INDIRECT(D$1&amp;"!$a1:$a10000"),汇总!$A107)),D106)</f>
        <v/>
      </c>
      <c r="E107" s="563">
        <f t="array" ref="E107">IFERROR(INDEX(_xlfn._xlws.FILTER(INDIRECT(E$1&amp;"!$E1:$E10000"),INDIRECT(E$1&amp;"!$a1:$a10000")=汇总!$A107),COUNTIF(INDIRECT(E$1&amp;"!$a1:$a10000"),汇总!$A107)),E106)</f>
        <v/>
      </c>
      <c r="F107" s="563">
        <f t="array" ref="F107">IFERROR(INDEX(_xlfn._xlws.FILTER(INDIRECT(F$1&amp;"!$E1:$E10000"),INDIRECT(F$1&amp;"!$a1:$a10000")=汇总!$A107),COUNTIF(INDIRECT(F$1&amp;"!$a1:$a10000"),汇总!$A107)),F106)</f>
        <v/>
      </c>
      <c r="G107" s="563">
        <f t="array" ref="G107">IFERROR(INDEX(_xlfn._xlws.FILTER(INDIRECT(G$1&amp;"!$E1:$E10000"),INDIRECT(G$1&amp;"!$a1:$a10000")=汇总!$A107),COUNTIF(INDIRECT(G$1&amp;"!$a1:$a10000"),汇总!$A107)),G106)</f>
        <v/>
      </c>
      <c r="H107" s="563">
        <f t="array" ref="H107">IFERROR(INDEX(_xlfn._xlws.FILTER(INDIRECT(H$1&amp;"!$E1:$E10000"),INDIRECT(H$1&amp;"!$a1:$a10000")=汇总!$A107),COUNTIF(INDIRECT(H$1&amp;"!$a1:$a10000"),汇总!$A107)),H106)</f>
        <v/>
      </c>
      <c r="I107" s="563">
        <f t="array" ref="I107">IFERROR(INDEX(_xlfn._xlws.FILTER(INDIRECT(I$1&amp;"!$E1:$E10000"),INDIRECT(I$1&amp;"!$a1:$a10000")=汇总!$A107),COUNTIF(INDIRECT(I$1&amp;"!$a1:$a10000"),汇总!$A107)),I106)</f>
        <v/>
      </c>
      <c r="J107" s="563">
        <f t="array" ref="J107">IFERROR(INDEX(_xlfn._xlws.FILTER(INDIRECT(J$1&amp;"!$E1:$E10000"),INDIRECT(J$1&amp;"!$a1:$a10000")=汇总!$A107),COUNTIF(INDIRECT(J$1&amp;"!$a1:$a10000"),汇总!$A107)),J106)</f>
        <v/>
      </c>
      <c r="K107" s="563">
        <f t="array" ref="K107">IFERROR(INDEX(_xlfn._xlws.FILTER(INDIRECT(K$1&amp;"!$E1:$E10000"),INDIRECT(K$1&amp;"!$a1:$a10000")=汇总!$A107),COUNTIF(INDIRECT(K$1&amp;"!$a1:$a10000"),汇总!$A107)),K106)</f>
        <v/>
      </c>
      <c r="L107" s="563">
        <f t="array" ref="L107">IFERROR(INDEX(_xlfn._xlws.FILTER(INDIRECT(L$1&amp;"!$E1:$E10000"),INDIRECT(L$1&amp;"!$a1:$a10000")=汇总!$A107),COUNTIF(INDIRECT(L$1&amp;"!$a1:$a10000"),汇总!$A107)),L106)</f>
        <v/>
      </c>
      <c r="M107" s="563">
        <f t="array" ref="M107">IFERROR(INDEX(_xlfn._xlws.FILTER(INDIRECT(M$1&amp;"!$E1:$E10000"),INDIRECT(M$1&amp;"!$a1:$a10000")=汇总!$A107),COUNTIF(INDIRECT(M$1&amp;"!$a1:$a10000"),汇总!$A107)),M106)</f>
        <v/>
      </c>
      <c r="N107" s="563">
        <f t="array" ref="N107">IFERROR(INDEX(_xlfn._xlws.FILTER(INDIRECT(N$1&amp;"!$E1:$E10000"),INDIRECT(N$1&amp;"!$a1:$a10000")=汇总!$A107),COUNTIF(INDIRECT(N$1&amp;"!$a1:$a10000"),汇总!$A107)),N106)</f>
        <v/>
      </c>
      <c r="O107" s="563">
        <f t="array" ref="O107">IFERROR(INDEX(_xlfn._xlws.FILTER(INDIRECT(O$1&amp;"!$E1:$E10000"),INDIRECT(O$1&amp;"!$a1:$a10000")=汇总!$A107),COUNTIF(INDIRECT(O$1&amp;"!$a1:$a10000"),汇总!$A107)),O106)</f>
        <v/>
      </c>
      <c r="P107" s="563">
        <f t="array" ref="P107">IFERROR(INDEX(_xlfn._xlws.FILTER(INDIRECT(P$1&amp;"!$E1:$E10000"),INDIRECT(P$1&amp;"!$a1:$a10000")=汇总!$A107),COUNTIF(INDIRECT(P$1&amp;"!$a1:$a10000"),汇总!$A107)),P106)</f>
        <v/>
      </c>
      <c r="Q107" s="563">
        <f t="array" ref="Q107">IFERROR(INDEX(_xlfn._xlws.FILTER(INDIRECT(Q$1&amp;"!$E1:$E10000"),INDIRECT(Q$1&amp;"!$a1:$a10000")=汇总!$A107),COUNTIF(INDIRECT(Q$1&amp;"!$a1:$a10000"),汇总!$A107)),Q106)</f>
        <v/>
      </c>
      <c r="R107" s="563">
        <f t="array" ref="R107">IFERROR(INDEX(_xlfn._xlws.FILTER(INDIRECT(R$1&amp;"!$E1:$E10000"),INDIRECT(R$1&amp;"!$a1:$a10000")=汇总!$A107),COUNTIF(INDIRECT(R$1&amp;"!$a1:$a10000"),汇总!$A107)),R106)</f>
        <v/>
      </c>
      <c r="S107" s="563">
        <f t="array" ref="S107">IFERROR(INDEX(_xlfn._xlws.FILTER(INDIRECT(S$1&amp;"!$E1:$E10000"),INDIRECT(S$1&amp;"!$a1:$a10000")=汇总!$A107),COUNTIF(INDIRECT(S$1&amp;"!$a1:$a10000"),汇总!$A107)),S106)</f>
        <v/>
      </c>
      <c r="T107" s="563">
        <f t="array" ref="T107">IFERROR(INDEX(_xlfn._xlws.FILTER(INDIRECT(T$1&amp;"!$E1:$E10000"),INDIRECT(T$1&amp;"!$a1:$a10000")=汇总!$A107),COUNTIF(INDIRECT(T$1&amp;"!$a1:$a10000"),汇总!$A107)),T106)</f>
        <v/>
      </c>
    </row>
    <row r="108">
      <c r="A108" s="1">
        <f>+A107+1</f>
        <v/>
      </c>
      <c r="B108" s="563">
        <f t="array" ref="B108">IFERROR(INDEX(_xlfn._xlws.FILTER(INDIRECT(B$1&amp;"!$E1:$E10000"),INDIRECT(B$1&amp;"!$a1:$a10000")=汇总!$A108),COUNTIF(INDIRECT(B$1&amp;"!$a1:$a10000"),汇总!$A108)),B107)</f>
        <v/>
      </c>
      <c r="C108" s="563">
        <f t="array" ref="C108">IFERROR(INDEX(_xlfn._xlws.FILTER(INDIRECT(C$1&amp;"!$E1:$E10000"),INDIRECT(C$1&amp;"!$a1:$a10000")=汇总!$A108),COUNTIF(INDIRECT(C$1&amp;"!$a1:$a10000"),汇总!$A108)),C107)</f>
        <v/>
      </c>
      <c r="D108" s="563">
        <f t="array" ref="D108">IFERROR(INDEX(_xlfn._xlws.FILTER(INDIRECT(D$1&amp;"!$E1:$E10000"),INDIRECT(D$1&amp;"!$a1:$a10000")=汇总!$A108),COUNTIF(INDIRECT(D$1&amp;"!$a1:$a10000"),汇总!$A108)),D107)</f>
        <v/>
      </c>
      <c r="E108" s="563">
        <f t="array" ref="E108">IFERROR(INDEX(_xlfn._xlws.FILTER(INDIRECT(E$1&amp;"!$E1:$E10000"),INDIRECT(E$1&amp;"!$a1:$a10000")=汇总!$A108),COUNTIF(INDIRECT(E$1&amp;"!$a1:$a10000"),汇总!$A108)),E107)</f>
        <v/>
      </c>
      <c r="F108" s="563">
        <f t="array" ref="F108">IFERROR(INDEX(_xlfn._xlws.FILTER(INDIRECT(F$1&amp;"!$E1:$E10000"),INDIRECT(F$1&amp;"!$a1:$a10000")=汇总!$A108),COUNTIF(INDIRECT(F$1&amp;"!$a1:$a10000"),汇总!$A108)),F107)</f>
        <v/>
      </c>
      <c r="G108" s="563">
        <f t="array" ref="G108">IFERROR(INDEX(_xlfn._xlws.FILTER(INDIRECT(G$1&amp;"!$E1:$E10000"),INDIRECT(G$1&amp;"!$a1:$a10000")=汇总!$A108),COUNTIF(INDIRECT(G$1&amp;"!$a1:$a10000"),汇总!$A108)),G107)</f>
        <v/>
      </c>
      <c r="H108" s="563">
        <f t="array" ref="H108">IFERROR(INDEX(_xlfn._xlws.FILTER(INDIRECT(H$1&amp;"!$E1:$E10000"),INDIRECT(H$1&amp;"!$a1:$a10000")=汇总!$A108),COUNTIF(INDIRECT(H$1&amp;"!$a1:$a10000"),汇总!$A108)),H107)</f>
        <v/>
      </c>
      <c r="I108" s="563">
        <f t="array" ref="I108">IFERROR(INDEX(_xlfn._xlws.FILTER(INDIRECT(I$1&amp;"!$E1:$E10000"),INDIRECT(I$1&amp;"!$a1:$a10000")=汇总!$A108),COUNTIF(INDIRECT(I$1&amp;"!$a1:$a10000"),汇总!$A108)),I107)</f>
        <v/>
      </c>
      <c r="J108" s="563">
        <f t="array" ref="J108">IFERROR(INDEX(_xlfn._xlws.FILTER(INDIRECT(J$1&amp;"!$E1:$E10000"),INDIRECT(J$1&amp;"!$a1:$a10000")=汇总!$A108),COUNTIF(INDIRECT(J$1&amp;"!$a1:$a10000"),汇总!$A108)),J107)</f>
        <v/>
      </c>
      <c r="K108" s="563">
        <f t="array" ref="K108">IFERROR(INDEX(_xlfn._xlws.FILTER(INDIRECT(K$1&amp;"!$E1:$E10000"),INDIRECT(K$1&amp;"!$a1:$a10000")=汇总!$A108),COUNTIF(INDIRECT(K$1&amp;"!$a1:$a10000"),汇总!$A108)),K107)</f>
        <v/>
      </c>
      <c r="L108" s="563">
        <f t="array" ref="L108">IFERROR(INDEX(_xlfn._xlws.FILTER(INDIRECT(L$1&amp;"!$E1:$E10000"),INDIRECT(L$1&amp;"!$a1:$a10000")=汇总!$A108),COUNTIF(INDIRECT(L$1&amp;"!$a1:$a10000"),汇总!$A108)),L107)</f>
        <v/>
      </c>
      <c r="M108" s="563">
        <f t="array" ref="M108">IFERROR(INDEX(_xlfn._xlws.FILTER(INDIRECT(M$1&amp;"!$E1:$E10000"),INDIRECT(M$1&amp;"!$a1:$a10000")=汇总!$A108),COUNTIF(INDIRECT(M$1&amp;"!$a1:$a10000"),汇总!$A108)),M107)</f>
        <v/>
      </c>
      <c r="N108" s="563">
        <f t="array" ref="N108">IFERROR(INDEX(_xlfn._xlws.FILTER(INDIRECT(N$1&amp;"!$E1:$E10000"),INDIRECT(N$1&amp;"!$a1:$a10000")=汇总!$A108),COUNTIF(INDIRECT(N$1&amp;"!$a1:$a10000"),汇总!$A108)),N107)</f>
        <v/>
      </c>
      <c r="O108" s="563">
        <f t="array" ref="O108">IFERROR(INDEX(_xlfn._xlws.FILTER(INDIRECT(O$1&amp;"!$E1:$E10000"),INDIRECT(O$1&amp;"!$a1:$a10000")=汇总!$A108),COUNTIF(INDIRECT(O$1&amp;"!$a1:$a10000"),汇总!$A108)),O107)</f>
        <v/>
      </c>
      <c r="P108" s="563">
        <f t="array" ref="P108">IFERROR(INDEX(_xlfn._xlws.FILTER(INDIRECT(P$1&amp;"!$E1:$E10000"),INDIRECT(P$1&amp;"!$a1:$a10000")=汇总!$A108),COUNTIF(INDIRECT(P$1&amp;"!$a1:$a10000"),汇总!$A108)),P107)</f>
        <v/>
      </c>
      <c r="Q108" s="563">
        <f t="array" ref="Q108">IFERROR(INDEX(_xlfn._xlws.FILTER(INDIRECT(Q$1&amp;"!$E1:$E10000"),INDIRECT(Q$1&amp;"!$a1:$a10000")=汇总!$A108),COUNTIF(INDIRECT(Q$1&amp;"!$a1:$a10000"),汇总!$A108)),Q107)</f>
        <v/>
      </c>
      <c r="R108" s="563">
        <f t="array" ref="R108">IFERROR(INDEX(_xlfn._xlws.FILTER(INDIRECT(R$1&amp;"!$E1:$E10000"),INDIRECT(R$1&amp;"!$a1:$a10000")=汇总!$A108),COUNTIF(INDIRECT(R$1&amp;"!$a1:$a10000"),汇总!$A108)),R107)</f>
        <v/>
      </c>
      <c r="S108" s="563">
        <f t="array" ref="S108">IFERROR(INDEX(_xlfn._xlws.FILTER(INDIRECT(S$1&amp;"!$E1:$E10000"),INDIRECT(S$1&amp;"!$a1:$a10000")=汇总!$A108),COUNTIF(INDIRECT(S$1&amp;"!$a1:$a10000"),汇总!$A108)),S107)</f>
        <v/>
      </c>
      <c r="T108" s="563">
        <f t="array" ref="T108">IFERROR(INDEX(_xlfn._xlws.FILTER(INDIRECT(T$1&amp;"!$E1:$E10000"),INDIRECT(T$1&amp;"!$a1:$a10000")=汇总!$A108),COUNTIF(INDIRECT(T$1&amp;"!$a1:$a10000"),汇总!$A108)),T107)</f>
        <v/>
      </c>
    </row>
    <row r="109">
      <c r="A109" s="1">
        <f>+A108+1</f>
        <v/>
      </c>
      <c r="B109" s="563">
        <f t="array" ref="B109">IFERROR(INDEX(_xlfn._xlws.FILTER(INDIRECT(B$1&amp;"!$E1:$E10000"),INDIRECT(B$1&amp;"!$a1:$a10000")=汇总!$A109),COUNTIF(INDIRECT(B$1&amp;"!$a1:$a10000"),汇总!$A109)),B108)</f>
        <v/>
      </c>
      <c r="C109" s="563">
        <f t="array" ref="C109">IFERROR(INDEX(_xlfn._xlws.FILTER(INDIRECT(C$1&amp;"!$E1:$E10000"),INDIRECT(C$1&amp;"!$a1:$a10000")=汇总!$A109),COUNTIF(INDIRECT(C$1&amp;"!$a1:$a10000"),汇总!$A109)),C108)</f>
        <v/>
      </c>
      <c r="D109" s="563">
        <f t="array" ref="D109">IFERROR(INDEX(_xlfn._xlws.FILTER(INDIRECT(D$1&amp;"!$E1:$E10000"),INDIRECT(D$1&amp;"!$a1:$a10000")=汇总!$A109),COUNTIF(INDIRECT(D$1&amp;"!$a1:$a10000"),汇总!$A109)),D108)</f>
        <v/>
      </c>
      <c r="E109" s="563">
        <f t="array" ref="E109">IFERROR(INDEX(_xlfn._xlws.FILTER(INDIRECT(E$1&amp;"!$E1:$E10000"),INDIRECT(E$1&amp;"!$a1:$a10000")=汇总!$A109),COUNTIF(INDIRECT(E$1&amp;"!$a1:$a10000"),汇总!$A109)),E108)</f>
        <v/>
      </c>
      <c r="F109" s="563">
        <f t="array" ref="F109">IFERROR(INDEX(_xlfn._xlws.FILTER(INDIRECT(F$1&amp;"!$E1:$E10000"),INDIRECT(F$1&amp;"!$a1:$a10000")=汇总!$A109),COUNTIF(INDIRECT(F$1&amp;"!$a1:$a10000"),汇总!$A109)),F108)</f>
        <v/>
      </c>
      <c r="G109" s="563">
        <f t="array" ref="G109">IFERROR(INDEX(_xlfn._xlws.FILTER(INDIRECT(G$1&amp;"!$E1:$E10000"),INDIRECT(G$1&amp;"!$a1:$a10000")=汇总!$A109),COUNTIF(INDIRECT(G$1&amp;"!$a1:$a10000"),汇总!$A109)),G108)</f>
        <v/>
      </c>
      <c r="H109" s="563">
        <f t="array" ref="H109">IFERROR(INDEX(_xlfn._xlws.FILTER(INDIRECT(H$1&amp;"!$E1:$E10000"),INDIRECT(H$1&amp;"!$a1:$a10000")=汇总!$A109),COUNTIF(INDIRECT(H$1&amp;"!$a1:$a10000"),汇总!$A109)),H108)</f>
        <v/>
      </c>
      <c r="I109" s="563">
        <f t="array" ref="I109">IFERROR(INDEX(_xlfn._xlws.FILTER(INDIRECT(I$1&amp;"!$E1:$E10000"),INDIRECT(I$1&amp;"!$a1:$a10000")=汇总!$A109),COUNTIF(INDIRECT(I$1&amp;"!$a1:$a10000"),汇总!$A109)),I108)</f>
        <v/>
      </c>
      <c r="J109" s="563">
        <f t="array" ref="J109">IFERROR(INDEX(_xlfn._xlws.FILTER(INDIRECT(J$1&amp;"!$E1:$E10000"),INDIRECT(J$1&amp;"!$a1:$a10000")=汇总!$A109),COUNTIF(INDIRECT(J$1&amp;"!$a1:$a10000"),汇总!$A109)),J108)</f>
        <v/>
      </c>
      <c r="K109" s="563">
        <f t="array" ref="K109">IFERROR(INDEX(_xlfn._xlws.FILTER(INDIRECT(K$1&amp;"!$E1:$E10000"),INDIRECT(K$1&amp;"!$a1:$a10000")=汇总!$A109),COUNTIF(INDIRECT(K$1&amp;"!$a1:$a10000"),汇总!$A109)),K108)</f>
        <v/>
      </c>
      <c r="L109" s="563">
        <f t="array" ref="L109">IFERROR(INDEX(_xlfn._xlws.FILTER(INDIRECT(L$1&amp;"!$E1:$E10000"),INDIRECT(L$1&amp;"!$a1:$a10000")=汇总!$A109),COUNTIF(INDIRECT(L$1&amp;"!$a1:$a10000"),汇总!$A109)),L108)</f>
        <v/>
      </c>
      <c r="M109" s="563">
        <f t="array" ref="M109">IFERROR(INDEX(_xlfn._xlws.FILTER(INDIRECT(M$1&amp;"!$E1:$E10000"),INDIRECT(M$1&amp;"!$a1:$a10000")=汇总!$A109),COUNTIF(INDIRECT(M$1&amp;"!$a1:$a10000"),汇总!$A109)),M108)</f>
        <v/>
      </c>
      <c r="N109" s="563">
        <f t="array" ref="N109">IFERROR(INDEX(_xlfn._xlws.FILTER(INDIRECT(N$1&amp;"!$E1:$E10000"),INDIRECT(N$1&amp;"!$a1:$a10000")=汇总!$A109),COUNTIF(INDIRECT(N$1&amp;"!$a1:$a10000"),汇总!$A109)),N108)</f>
        <v/>
      </c>
      <c r="O109" s="563">
        <f t="array" ref="O109">IFERROR(INDEX(_xlfn._xlws.FILTER(INDIRECT(O$1&amp;"!$E1:$E10000"),INDIRECT(O$1&amp;"!$a1:$a10000")=汇总!$A109),COUNTIF(INDIRECT(O$1&amp;"!$a1:$a10000"),汇总!$A109)),O108)</f>
        <v/>
      </c>
      <c r="P109" s="563">
        <f t="array" ref="P109">IFERROR(INDEX(_xlfn._xlws.FILTER(INDIRECT(P$1&amp;"!$E1:$E10000"),INDIRECT(P$1&amp;"!$a1:$a10000")=汇总!$A109),COUNTIF(INDIRECT(P$1&amp;"!$a1:$a10000"),汇总!$A109)),P108)</f>
        <v/>
      </c>
      <c r="Q109" s="563">
        <f t="array" ref="Q109">IFERROR(INDEX(_xlfn._xlws.FILTER(INDIRECT(Q$1&amp;"!$E1:$E10000"),INDIRECT(Q$1&amp;"!$a1:$a10000")=汇总!$A109),COUNTIF(INDIRECT(Q$1&amp;"!$a1:$a10000"),汇总!$A109)),Q108)</f>
        <v/>
      </c>
      <c r="R109" s="563">
        <f t="array" ref="R109">IFERROR(INDEX(_xlfn._xlws.FILTER(INDIRECT(R$1&amp;"!$E1:$E10000"),INDIRECT(R$1&amp;"!$a1:$a10000")=汇总!$A109),COUNTIF(INDIRECT(R$1&amp;"!$a1:$a10000"),汇总!$A109)),R108)</f>
        <v/>
      </c>
      <c r="S109" s="563">
        <f t="array" ref="S109">IFERROR(INDEX(_xlfn._xlws.FILTER(INDIRECT(S$1&amp;"!$E1:$E10000"),INDIRECT(S$1&amp;"!$a1:$a10000")=汇总!$A109),COUNTIF(INDIRECT(S$1&amp;"!$a1:$a10000"),汇总!$A109)),S108)</f>
        <v/>
      </c>
      <c r="T109" s="563">
        <f t="array" ref="T109">IFERROR(INDEX(_xlfn._xlws.FILTER(INDIRECT(T$1&amp;"!$E1:$E10000"),INDIRECT(T$1&amp;"!$a1:$a10000")=汇总!$A109),COUNTIF(INDIRECT(T$1&amp;"!$a1:$a10000"),汇总!$A109)),T108)</f>
        <v/>
      </c>
    </row>
    <row r="110">
      <c r="A110" s="1">
        <f>+A109+1</f>
        <v/>
      </c>
      <c r="B110" s="563">
        <f t="array" ref="B110">IFERROR(INDEX(_xlfn._xlws.FILTER(INDIRECT(B$1&amp;"!$E1:$E10000"),INDIRECT(B$1&amp;"!$a1:$a10000")=汇总!$A110),COUNTIF(INDIRECT(B$1&amp;"!$a1:$a10000"),汇总!$A110)),B109)</f>
        <v/>
      </c>
      <c r="C110" s="563">
        <f t="array" ref="C110">IFERROR(INDEX(_xlfn._xlws.FILTER(INDIRECT(C$1&amp;"!$E1:$E10000"),INDIRECT(C$1&amp;"!$a1:$a10000")=汇总!$A110),COUNTIF(INDIRECT(C$1&amp;"!$a1:$a10000"),汇总!$A110)),C109)</f>
        <v/>
      </c>
      <c r="D110" s="563">
        <f t="array" ref="D110">IFERROR(INDEX(_xlfn._xlws.FILTER(INDIRECT(D$1&amp;"!$E1:$E10000"),INDIRECT(D$1&amp;"!$a1:$a10000")=汇总!$A110),COUNTIF(INDIRECT(D$1&amp;"!$a1:$a10000"),汇总!$A110)),D109)</f>
        <v/>
      </c>
      <c r="E110" s="563">
        <f t="array" ref="E110">IFERROR(INDEX(_xlfn._xlws.FILTER(INDIRECT(E$1&amp;"!$E1:$E10000"),INDIRECT(E$1&amp;"!$a1:$a10000")=汇总!$A110),COUNTIF(INDIRECT(E$1&amp;"!$a1:$a10000"),汇总!$A110)),E109)</f>
        <v/>
      </c>
      <c r="F110" s="563">
        <f t="array" ref="F110">IFERROR(INDEX(_xlfn._xlws.FILTER(INDIRECT(F$1&amp;"!$E1:$E10000"),INDIRECT(F$1&amp;"!$a1:$a10000")=汇总!$A110),COUNTIF(INDIRECT(F$1&amp;"!$a1:$a10000"),汇总!$A110)),F109)</f>
        <v/>
      </c>
      <c r="G110" s="563">
        <f t="array" ref="G110">IFERROR(INDEX(_xlfn._xlws.FILTER(INDIRECT(G$1&amp;"!$E1:$E10000"),INDIRECT(G$1&amp;"!$a1:$a10000")=汇总!$A110),COUNTIF(INDIRECT(G$1&amp;"!$a1:$a10000"),汇总!$A110)),G109)</f>
        <v/>
      </c>
      <c r="H110" s="563">
        <f t="array" ref="H110">IFERROR(INDEX(_xlfn._xlws.FILTER(INDIRECT(H$1&amp;"!$E1:$E10000"),INDIRECT(H$1&amp;"!$a1:$a10000")=汇总!$A110),COUNTIF(INDIRECT(H$1&amp;"!$a1:$a10000"),汇总!$A110)),H109)</f>
        <v/>
      </c>
      <c r="I110" s="563">
        <f t="array" ref="I110">IFERROR(INDEX(_xlfn._xlws.FILTER(INDIRECT(I$1&amp;"!$E1:$E10000"),INDIRECT(I$1&amp;"!$a1:$a10000")=汇总!$A110),COUNTIF(INDIRECT(I$1&amp;"!$a1:$a10000"),汇总!$A110)),I109)</f>
        <v/>
      </c>
      <c r="J110" s="563">
        <f t="array" ref="J110">IFERROR(INDEX(_xlfn._xlws.FILTER(INDIRECT(J$1&amp;"!$E1:$E10000"),INDIRECT(J$1&amp;"!$a1:$a10000")=汇总!$A110),COUNTIF(INDIRECT(J$1&amp;"!$a1:$a10000"),汇总!$A110)),J109)</f>
        <v/>
      </c>
      <c r="K110" s="563">
        <f t="array" ref="K110">IFERROR(INDEX(_xlfn._xlws.FILTER(INDIRECT(K$1&amp;"!$E1:$E10000"),INDIRECT(K$1&amp;"!$a1:$a10000")=汇总!$A110),COUNTIF(INDIRECT(K$1&amp;"!$a1:$a10000"),汇总!$A110)),K109)</f>
        <v/>
      </c>
      <c r="L110" s="563">
        <f t="array" ref="L110">IFERROR(INDEX(_xlfn._xlws.FILTER(INDIRECT(L$1&amp;"!$E1:$E10000"),INDIRECT(L$1&amp;"!$a1:$a10000")=汇总!$A110),COUNTIF(INDIRECT(L$1&amp;"!$a1:$a10000"),汇总!$A110)),L109)</f>
        <v/>
      </c>
      <c r="M110" s="563">
        <f t="array" ref="M110">IFERROR(INDEX(_xlfn._xlws.FILTER(INDIRECT(M$1&amp;"!$E1:$E10000"),INDIRECT(M$1&amp;"!$a1:$a10000")=汇总!$A110),COUNTIF(INDIRECT(M$1&amp;"!$a1:$a10000"),汇总!$A110)),M109)</f>
        <v/>
      </c>
      <c r="N110" s="563">
        <f t="array" ref="N110">IFERROR(INDEX(_xlfn._xlws.FILTER(INDIRECT(N$1&amp;"!$E1:$E10000"),INDIRECT(N$1&amp;"!$a1:$a10000")=汇总!$A110),COUNTIF(INDIRECT(N$1&amp;"!$a1:$a10000"),汇总!$A110)),N109)</f>
        <v/>
      </c>
      <c r="O110" s="563">
        <f t="array" ref="O110">IFERROR(INDEX(_xlfn._xlws.FILTER(INDIRECT(O$1&amp;"!$E1:$E10000"),INDIRECT(O$1&amp;"!$a1:$a10000")=汇总!$A110),COUNTIF(INDIRECT(O$1&amp;"!$a1:$a10000"),汇总!$A110)),O109)</f>
        <v/>
      </c>
      <c r="P110" s="563">
        <f t="array" ref="P110">IFERROR(INDEX(_xlfn._xlws.FILTER(INDIRECT(P$1&amp;"!$E1:$E10000"),INDIRECT(P$1&amp;"!$a1:$a10000")=汇总!$A110),COUNTIF(INDIRECT(P$1&amp;"!$a1:$a10000"),汇总!$A110)),P109)</f>
        <v/>
      </c>
      <c r="Q110" s="563">
        <f t="array" ref="Q110">IFERROR(INDEX(_xlfn._xlws.FILTER(INDIRECT(Q$1&amp;"!$E1:$E10000"),INDIRECT(Q$1&amp;"!$a1:$a10000")=汇总!$A110),COUNTIF(INDIRECT(Q$1&amp;"!$a1:$a10000"),汇总!$A110)),Q109)</f>
        <v/>
      </c>
      <c r="R110" s="563">
        <f t="array" ref="R110">IFERROR(INDEX(_xlfn._xlws.FILTER(INDIRECT(R$1&amp;"!$E1:$E10000"),INDIRECT(R$1&amp;"!$a1:$a10000")=汇总!$A110),COUNTIF(INDIRECT(R$1&amp;"!$a1:$a10000"),汇总!$A110)),R109)</f>
        <v/>
      </c>
      <c r="S110" s="563">
        <f t="array" ref="S110">IFERROR(INDEX(_xlfn._xlws.FILTER(INDIRECT(S$1&amp;"!$E1:$E10000"),INDIRECT(S$1&amp;"!$a1:$a10000")=汇总!$A110),COUNTIF(INDIRECT(S$1&amp;"!$a1:$a10000"),汇总!$A110)),S109)</f>
        <v/>
      </c>
      <c r="T110" s="563">
        <f t="array" ref="T110">IFERROR(INDEX(_xlfn._xlws.FILTER(INDIRECT(T$1&amp;"!$E1:$E10000"),INDIRECT(T$1&amp;"!$a1:$a10000")=汇总!$A110),COUNTIF(INDIRECT(T$1&amp;"!$a1:$a10000"),汇总!$A110)),T109)</f>
        <v/>
      </c>
    </row>
    <row r="111">
      <c r="A111" s="1">
        <f>+A110+1</f>
        <v/>
      </c>
      <c r="B111" s="563">
        <f t="array" ref="B111">IFERROR(INDEX(_xlfn._xlws.FILTER(INDIRECT(B$1&amp;"!$E1:$E10000"),INDIRECT(B$1&amp;"!$a1:$a10000")=汇总!$A111),COUNTIF(INDIRECT(B$1&amp;"!$a1:$a10000"),汇总!$A111)),B110)</f>
        <v/>
      </c>
      <c r="C111" s="563">
        <f t="array" ref="C111">IFERROR(INDEX(_xlfn._xlws.FILTER(INDIRECT(C$1&amp;"!$E1:$E10000"),INDIRECT(C$1&amp;"!$a1:$a10000")=汇总!$A111),COUNTIF(INDIRECT(C$1&amp;"!$a1:$a10000"),汇总!$A111)),C110)</f>
        <v/>
      </c>
      <c r="D111" s="563">
        <f t="array" ref="D111">IFERROR(INDEX(_xlfn._xlws.FILTER(INDIRECT(D$1&amp;"!$E1:$E10000"),INDIRECT(D$1&amp;"!$a1:$a10000")=汇总!$A111),COUNTIF(INDIRECT(D$1&amp;"!$a1:$a10000"),汇总!$A111)),D110)</f>
        <v/>
      </c>
      <c r="E111" s="563">
        <f t="array" ref="E111">IFERROR(INDEX(_xlfn._xlws.FILTER(INDIRECT(E$1&amp;"!$E1:$E10000"),INDIRECT(E$1&amp;"!$a1:$a10000")=汇总!$A111),COUNTIF(INDIRECT(E$1&amp;"!$a1:$a10000"),汇总!$A111)),E110)</f>
        <v/>
      </c>
      <c r="F111" s="563">
        <f t="array" ref="F111">IFERROR(INDEX(_xlfn._xlws.FILTER(INDIRECT(F$1&amp;"!$E1:$E10000"),INDIRECT(F$1&amp;"!$a1:$a10000")=汇总!$A111),COUNTIF(INDIRECT(F$1&amp;"!$a1:$a10000"),汇总!$A111)),F110)</f>
        <v/>
      </c>
      <c r="G111" s="563">
        <f t="array" ref="G111">IFERROR(INDEX(_xlfn._xlws.FILTER(INDIRECT(G$1&amp;"!$E1:$E10000"),INDIRECT(G$1&amp;"!$a1:$a10000")=汇总!$A111),COUNTIF(INDIRECT(G$1&amp;"!$a1:$a10000"),汇总!$A111)),G110)</f>
        <v/>
      </c>
      <c r="H111" s="563">
        <f t="array" ref="H111">IFERROR(INDEX(_xlfn._xlws.FILTER(INDIRECT(H$1&amp;"!$E1:$E10000"),INDIRECT(H$1&amp;"!$a1:$a10000")=汇总!$A111),COUNTIF(INDIRECT(H$1&amp;"!$a1:$a10000"),汇总!$A111)),H110)</f>
        <v/>
      </c>
      <c r="I111" s="563">
        <f t="array" ref="I111">IFERROR(INDEX(_xlfn._xlws.FILTER(INDIRECT(I$1&amp;"!$E1:$E10000"),INDIRECT(I$1&amp;"!$a1:$a10000")=汇总!$A111),COUNTIF(INDIRECT(I$1&amp;"!$a1:$a10000"),汇总!$A111)),I110)</f>
        <v/>
      </c>
      <c r="J111" s="563">
        <f t="array" ref="J111">IFERROR(INDEX(_xlfn._xlws.FILTER(INDIRECT(J$1&amp;"!$E1:$E10000"),INDIRECT(J$1&amp;"!$a1:$a10000")=汇总!$A111),COUNTIF(INDIRECT(J$1&amp;"!$a1:$a10000"),汇总!$A111)),J110)</f>
        <v/>
      </c>
      <c r="K111" s="563">
        <f t="array" ref="K111">IFERROR(INDEX(_xlfn._xlws.FILTER(INDIRECT(K$1&amp;"!$E1:$E10000"),INDIRECT(K$1&amp;"!$a1:$a10000")=汇总!$A111),COUNTIF(INDIRECT(K$1&amp;"!$a1:$a10000"),汇总!$A111)),K110)</f>
        <v/>
      </c>
      <c r="L111" s="563">
        <f t="array" ref="L111">IFERROR(INDEX(_xlfn._xlws.FILTER(INDIRECT(L$1&amp;"!$E1:$E10000"),INDIRECT(L$1&amp;"!$a1:$a10000")=汇总!$A111),COUNTIF(INDIRECT(L$1&amp;"!$a1:$a10000"),汇总!$A111)),L110)</f>
        <v/>
      </c>
      <c r="M111" s="563">
        <f t="array" ref="M111">IFERROR(INDEX(_xlfn._xlws.FILTER(INDIRECT(M$1&amp;"!$E1:$E10000"),INDIRECT(M$1&amp;"!$a1:$a10000")=汇总!$A111),COUNTIF(INDIRECT(M$1&amp;"!$a1:$a10000"),汇总!$A111)),M110)</f>
        <v/>
      </c>
      <c r="N111" s="563">
        <f t="array" ref="N111">IFERROR(INDEX(_xlfn._xlws.FILTER(INDIRECT(N$1&amp;"!$E1:$E10000"),INDIRECT(N$1&amp;"!$a1:$a10000")=汇总!$A111),COUNTIF(INDIRECT(N$1&amp;"!$a1:$a10000"),汇总!$A111)),N110)</f>
        <v/>
      </c>
      <c r="O111" s="563">
        <f t="array" ref="O111">IFERROR(INDEX(_xlfn._xlws.FILTER(INDIRECT(O$1&amp;"!$E1:$E10000"),INDIRECT(O$1&amp;"!$a1:$a10000")=汇总!$A111),COUNTIF(INDIRECT(O$1&amp;"!$a1:$a10000"),汇总!$A111)),O110)</f>
        <v/>
      </c>
      <c r="P111" s="563">
        <f t="array" ref="P111">IFERROR(INDEX(_xlfn._xlws.FILTER(INDIRECT(P$1&amp;"!$E1:$E10000"),INDIRECT(P$1&amp;"!$a1:$a10000")=汇总!$A111),COUNTIF(INDIRECT(P$1&amp;"!$a1:$a10000"),汇总!$A111)),P110)</f>
        <v/>
      </c>
      <c r="Q111" s="563">
        <f t="array" ref="Q111">IFERROR(INDEX(_xlfn._xlws.FILTER(INDIRECT(Q$1&amp;"!$E1:$E10000"),INDIRECT(Q$1&amp;"!$a1:$a10000")=汇总!$A111),COUNTIF(INDIRECT(Q$1&amp;"!$a1:$a10000"),汇总!$A111)),Q110)</f>
        <v/>
      </c>
      <c r="R111" s="563">
        <f t="array" ref="R111">IFERROR(INDEX(_xlfn._xlws.FILTER(INDIRECT(R$1&amp;"!$E1:$E10000"),INDIRECT(R$1&amp;"!$a1:$a10000")=汇总!$A111),COUNTIF(INDIRECT(R$1&amp;"!$a1:$a10000"),汇总!$A111)),R110)</f>
        <v/>
      </c>
      <c r="S111" s="563">
        <f t="array" ref="S111">IFERROR(INDEX(_xlfn._xlws.FILTER(INDIRECT(S$1&amp;"!$E1:$E10000"),INDIRECT(S$1&amp;"!$a1:$a10000")=汇总!$A111),COUNTIF(INDIRECT(S$1&amp;"!$a1:$a10000"),汇总!$A111)),S110)</f>
        <v/>
      </c>
      <c r="T111" s="563">
        <f t="array" ref="T111">IFERROR(INDEX(_xlfn._xlws.FILTER(INDIRECT(T$1&amp;"!$E1:$E10000"),INDIRECT(T$1&amp;"!$a1:$a10000")=汇总!$A111),COUNTIF(INDIRECT(T$1&amp;"!$a1:$a10000"),汇总!$A111)),T110)</f>
        <v/>
      </c>
    </row>
    <row r="112">
      <c r="A112" s="1">
        <f>+A111+1</f>
        <v/>
      </c>
      <c r="B112" s="563">
        <f t="array" ref="B112">IFERROR(INDEX(_xlfn._xlws.FILTER(INDIRECT(B$1&amp;"!$E1:$E10000"),INDIRECT(B$1&amp;"!$a1:$a10000")=汇总!$A112),COUNTIF(INDIRECT(B$1&amp;"!$a1:$a10000"),汇总!$A112)),B111)</f>
        <v/>
      </c>
      <c r="C112" s="563">
        <f t="array" ref="C112">IFERROR(INDEX(_xlfn._xlws.FILTER(INDIRECT(C$1&amp;"!$E1:$E10000"),INDIRECT(C$1&amp;"!$a1:$a10000")=汇总!$A112),COUNTIF(INDIRECT(C$1&amp;"!$a1:$a10000"),汇总!$A112)),C111)</f>
        <v/>
      </c>
      <c r="D112" s="563">
        <f t="array" ref="D112">IFERROR(INDEX(_xlfn._xlws.FILTER(INDIRECT(D$1&amp;"!$E1:$E10000"),INDIRECT(D$1&amp;"!$a1:$a10000")=汇总!$A112),COUNTIF(INDIRECT(D$1&amp;"!$a1:$a10000"),汇总!$A112)),D111)</f>
        <v/>
      </c>
      <c r="E112" s="563">
        <f t="array" ref="E112">IFERROR(INDEX(_xlfn._xlws.FILTER(INDIRECT(E$1&amp;"!$E1:$E10000"),INDIRECT(E$1&amp;"!$a1:$a10000")=汇总!$A112),COUNTIF(INDIRECT(E$1&amp;"!$a1:$a10000"),汇总!$A112)),E111)</f>
        <v/>
      </c>
      <c r="F112" s="563">
        <f t="array" ref="F112">IFERROR(INDEX(_xlfn._xlws.FILTER(INDIRECT(F$1&amp;"!$E1:$E10000"),INDIRECT(F$1&amp;"!$a1:$a10000")=汇总!$A112),COUNTIF(INDIRECT(F$1&amp;"!$a1:$a10000"),汇总!$A112)),F111)</f>
        <v/>
      </c>
      <c r="G112" s="563">
        <f t="array" ref="G112">IFERROR(INDEX(_xlfn._xlws.FILTER(INDIRECT(G$1&amp;"!$E1:$E10000"),INDIRECT(G$1&amp;"!$a1:$a10000")=汇总!$A112),COUNTIF(INDIRECT(G$1&amp;"!$a1:$a10000"),汇总!$A112)),G111)</f>
        <v/>
      </c>
      <c r="H112" s="563">
        <f t="array" ref="H112">IFERROR(INDEX(_xlfn._xlws.FILTER(INDIRECT(H$1&amp;"!$E1:$E10000"),INDIRECT(H$1&amp;"!$a1:$a10000")=汇总!$A112),COUNTIF(INDIRECT(H$1&amp;"!$a1:$a10000"),汇总!$A112)),H111)</f>
        <v/>
      </c>
      <c r="I112" s="563">
        <f t="array" ref="I112">IFERROR(INDEX(_xlfn._xlws.FILTER(INDIRECT(I$1&amp;"!$E1:$E10000"),INDIRECT(I$1&amp;"!$a1:$a10000")=汇总!$A112),COUNTIF(INDIRECT(I$1&amp;"!$a1:$a10000"),汇总!$A112)),I111)</f>
        <v/>
      </c>
      <c r="J112" s="563">
        <f t="array" ref="J112">IFERROR(INDEX(_xlfn._xlws.FILTER(INDIRECT(J$1&amp;"!$E1:$E10000"),INDIRECT(J$1&amp;"!$a1:$a10000")=汇总!$A112),COUNTIF(INDIRECT(J$1&amp;"!$a1:$a10000"),汇总!$A112)),J111)</f>
        <v/>
      </c>
      <c r="K112" s="563">
        <f t="array" ref="K112">IFERROR(INDEX(_xlfn._xlws.FILTER(INDIRECT(K$1&amp;"!$E1:$E10000"),INDIRECT(K$1&amp;"!$a1:$a10000")=汇总!$A112),COUNTIF(INDIRECT(K$1&amp;"!$a1:$a10000"),汇总!$A112)),K111)</f>
        <v/>
      </c>
      <c r="L112" s="563">
        <f t="array" ref="L112">IFERROR(INDEX(_xlfn._xlws.FILTER(INDIRECT(L$1&amp;"!$E1:$E10000"),INDIRECT(L$1&amp;"!$a1:$a10000")=汇总!$A112),COUNTIF(INDIRECT(L$1&amp;"!$a1:$a10000"),汇总!$A112)),L111)</f>
        <v/>
      </c>
      <c r="M112" s="563">
        <f t="array" ref="M112">IFERROR(INDEX(_xlfn._xlws.FILTER(INDIRECT(M$1&amp;"!$E1:$E10000"),INDIRECT(M$1&amp;"!$a1:$a10000")=汇总!$A112),COUNTIF(INDIRECT(M$1&amp;"!$a1:$a10000"),汇总!$A112)),M111)</f>
        <v/>
      </c>
      <c r="N112" s="563">
        <f t="array" ref="N112">IFERROR(INDEX(_xlfn._xlws.FILTER(INDIRECT(N$1&amp;"!$E1:$E10000"),INDIRECT(N$1&amp;"!$a1:$a10000")=汇总!$A112),COUNTIF(INDIRECT(N$1&amp;"!$a1:$a10000"),汇总!$A112)),N111)</f>
        <v/>
      </c>
      <c r="O112" s="563">
        <f t="array" ref="O112">IFERROR(INDEX(_xlfn._xlws.FILTER(INDIRECT(O$1&amp;"!$E1:$E10000"),INDIRECT(O$1&amp;"!$a1:$a10000")=汇总!$A112),COUNTIF(INDIRECT(O$1&amp;"!$a1:$a10000"),汇总!$A112)),O111)</f>
        <v/>
      </c>
      <c r="P112" s="563">
        <f t="array" ref="P112">IFERROR(INDEX(_xlfn._xlws.FILTER(INDIRECT(P$1&amp;"!$E1:$E10000"),INDIRECT(P$1&amp;"!$a1:$a10000")=汇总!$A112),COUNTIF(INDIRECT(P$1&amp;"!$a1:$a10000"),汇总!$A112)),P111)</f>
        <v/>
      </c>
      <c r="Q112" s="563">
        <f t="array" ref="Q112">IFERROR(INDEX(_xlfn._xlws.FILTER(INDIRECT(Q$1&amp;"!$E1:$E10000"),INDIRECT(Q$1&amp;"!$a1:$a10000")=汇总!$A112),COUNTIF(INDIRECT(Q$1&amp;"!$a1:$a10000"),汇总!$A112)),Q111)</f>
        <v/>
      </c>
      <c r="R112" s="563">
        <f t="array" ref="R112">IFERROR(INDEX(_xlfn._xlws.FILTER(INDIRECT(R$1&amp;"!$E1:$E10000"),INDIRECT(R$1&amp;"!$a1:$a10000")=汇总!$A112),COUNTIF(INDIRECT(R$1&amp;"!$a1:$a10000"),汇总!$A112)),R111)</f>
        <v/>
      </c>
      <c r="S112" s="563">
        <f t="array" ref="S112">IFERROR(INDEX(_xlfn._xlws.FILTER(INDIRECT(S$1&amp;"!$E1:$E10000"),INDIRECT(S$1&amp;"!$a1:$a10000")=汇总!$A112),COUNTIF(INDIRECT(S$1&amp;"!$a1:$a10000"),汇总!$A112)),S111)</f>
        <v/>
      </c>
      <c r="T112" s="563">
        <f t="array" ref="T112">IFERROR(INDEX(_xlfn._xlws.FILTER(INDIRECT(T$1&amp;"!$E1:$E10000"),INDIRECT(T$1&amp;"!$a1:$a10000")=汇总!$A112),COUNTIF(INDIRECT(T$1&amp;"!$a1:$a10000"),汇总!$A112)),T111)</f>
        <v/>
      </c>
    </row>
    <row r="113">
      <c r="A113" s="1">
        <f>+A112+1</f>
        <v/>
      </c>
      <c r="B113" s="563">
        <f t="array" ref="B113">IFERROR(INDEX(_xlfn._xlws.FILTER(INDIRECT(B$1&amp;"!$E1:$E10000"),INDIRECT(B$1&amp;"!$a1:$a10000")=汇总!$A113),COUNTIF(INDIRECT(B$1&amp;"!$a1:$a10000"),汇总!$A113)),B112)</f>
        <v/>
      </c>
      <c r="C113" s="563">
        <f t="array" ref="C113">IFERROR(INDEX(_xlfn._xlws.FILTER(INDIRECT(C$1&amp;"!$E1:$E10000"),INDIRECT(C$1&amp;"!$a1:$a10000")=汇总!$A113),COUNTIF(INDIRECT(C$1&amp;"!$a1:$a10000"),汇总!$A113)),C112)</f>
        <v/>
      </c>
      <c r="D113" s="563">
        <f t="array" ref="D113">IFERROR(INDEX(_xlfn._xlws.FILTER(INDIRECT(D$1&amp;"!$E1:$E10000"),INDIRECT(D$1&amp;"!$a1:$a10000")=汇总!$A113),COUNTIF(INDIRECT(D$1&amp;"!$a1:$a10000"),汇总!$A113)),D112)</f>
        <v/>
      </c>
      <c r="E113" s="563">
        <f t="array" ref="E113">IFERROR(INDEX(_xlfn._xlws.FILTER(INDIRECT(E$1&amp;"!$E1:$E10000"),INDIRECT(E$1&amp;"!$a1:$a10000")=汇总!$A113),COUNTIF(INDIRECT(E$1&amp;"!$a1:$a10000"),汇总!$A113)),E112)</f>
        <v/>
      </c>
      <c r="F113" s="563">
        <f t="array" ref="F113">IFERROR(INDEX(_xlfn._xlws.FILTER(INDIRECT(F$1&amp;"!$E1:$E10000"),INDIRECT(F$1&amp;"!$a1:$a10000")=汇总!$A113),COUNTIF(INDIRECT(F$1&amp;"!$a1:$a10000"),汇总!$A113)),F112)</f>
        <v/>
      </c>
      <c r="G113" s="563">
        <f t="array" ref="G113">IFERROR(INDEX(_xlfn._xlws.FILTER(INDIRECT(G$1&amp;"!$E1:$E10000"),INDIRECT(G$1&amp;"!$a1:$a10000")=汇总!$A113),COUNTIF(INDIRECT(G$1&amp;"!$a1:$a10000"),汇总!$A113)),G112)</f>
        <v/>
      </c>
      <c r="H113" s="563">
        <f t="array" ref="H113">IFERROR(INDEX(_xlfn._xlws.FILTER(INDIRECT(H$1&amp;"!$E1:$E10000"),INDIRECT(H$1&amp;"!$a1:$a10000")=汇总!$A113),COUNTIF(INDIRECT(H$1&amp;"!$a1:$a10000"),汇总!$A113)),H112)</f>
        <v/>
      </c>
      <c r="I113" s="563">
        <f t="array" ref="I113">IFERROR(INDEX(_xlfn._xlws.FILTER(INDIRECT(I$1&amp;"!$E1:$E10000"),INDIRECT(I$1&amp;"!$a1:$a10000")=汇总!$A113),COUNTIF(INDIRECT(I$1&amp;"!$a1:$a10000"),汇总!$A113)),I112)</f>
        <v/>
      </c>
      <c r="J113" s="563">
        <f t="array" ref="J113">IFERROR(INDEX(_xlfn._xlws.FILTER(INDIRECT(J$1&amp;"!$E1:$E10000"),INDIRECT(J$1&amp;"!$a1:$a10000")=汇总!$A113),COUNTIF(INDIRECT(J$1&amp;"!$a1:$a10000"),汇总!$A113)),J112)</f>
        <v/>
      </c>
      <c r="K113" s="563">
        <f t="array" ref="K113">IFERROR(INDEX(_xlfn._xlws.FILTER(INDIRECT(K$1&amp;"!$E1:$E10000"),INDIRECT(K$1&amp;"!$a1:$a10000")=汇总!$A113),COUNTIF(INDIRECT(K$1&amp;"!$a1:$a10000"),汇总!$A113)),K112)</f>
        <v/>
      </c>
      <c r="L113" s="563">
        <f t="array" ref="L113">IFERROR(INDEX(_xlfn._xlws.FILTER(INDIRECT(L$1&amp;"!$E1:$E10000"),INDIRECT(L$1&amp;"!$a1:$a10000")=汇总!$A113),COUNTIF(INDIRECT(L$1&amp;"!$a1:$a10000"),汇总!$A113)),L112)</f>
        <v/>
      </c>
      <c r="M113" s="563">
        <f t="array" ref="M113">IFERROR(INDEX(_xlfn._xlws.FILTER(INDIRECT(M$1&amp;"!$E1:$E10000"),INDIRECT(M$1&amp;"!$a1:$a10000")=汇总!$A113),COUNTIF(INDIRECT(M$1&amp;"!$a1:$a10000"),汇总!$A113)),M112)</f>
        <v/>
      </c>
      <c r="N113" s="563">
        <f t="array" ref="N113">IFERROR(INDEX(_xlfn._xlws.FILTER(INDIRECT(N$1&amp;"!$E1:$E10000"),INDIRECT(N$1&amp;"!$a1:$a10000")=汇总!$A113),COUNTIF(INDIRECT(N$1&amp;"!$a1:$a10000"),汇总!$A113)),N112)</f>
        <v/>
      </c>
      <c r="O113" s="563">
        <f t="array" ref="O113">IFERROR(INDEX(_xlfn._xlws.FILTER(INDIRECT(O$1&amp;"!$E1:$E10000"),INDIRECT(O$1&amp;"!$a1:$a10000")=汇总!$A113),COUNTIF(INDIRECT(O$1&amp;"!$a1:$a10000"),汇总!$A113)),O112)</f>
        <v/>
      </c>
      <c r="P113" s="563">
        <f t="array" ref="P113">IFERROR(INDEX(_xlfn._xlws.FILTER(INDIRECT(P$1&amp;"!$E1:$E10000"),INDIRECT(P$1&amp;"!$a1:$a10000")=汇总!$A113),COUNTIF(INDIRECT(P$1&amp;"!$a1:$a10000"),汇总!$A113)),P112)</f>
        <v/>
      </c>
      <c r="Q113" s="563">
        <f t="array" ref="Q113">IFERROR(INDEX(_xlfn._xlws.FILTER(INDIRECT(Q$1&amp;"!$E1:$E10000"),INDIRECT(Q$1&amp;"!$a1:$a10000")=汇总!$A113),COUNTIF(INDIRECT(Q$1&amp;"!$a1:$a10000"),汇总!$A113)),Q112)</f>
        <v/>
      </c>
      <c r="R113" s="563">
        <f t="array" ref="R113">IFERROR(INDEX(_xlfn._xlws.FILTER(INDIRECT(R$1&amp;"!$E1:$E10000"),INDIRECT(R$1&amp;"!$a1:$a10000")=汇总!$A113),COUNTIF(INDIRECT(R$1&amp;"!$a1:$a10000"),汇总!$A113)),R112)</f>
        <v/>
      </c>
      <c r="S113" s="563">
        <f t="array" ref="S113">IFERROR(INDEX(_xlfn._xlws.FILTER(INDIRECT(S$1&amp;"!$E1:$E10000"),INDIRECT(S$1&amp;"!$a1:$a10000")=汇总!$A113),COUNTIF(INDIRECT(S$1&amp;"!$a1:$a10000"),汇总!$A113)),S112)</f>
        <v/>
      </c>
      <c r="T113" s="563">
        <f t="array" ref="T113">IFERROR(INDEX(_xlfn._xlws.FILTER(INDIRECT(T$1&amp;"!$E1:$E10000"),INDIRECT(T$1&amp;"!$a1:$a10000")=汇总!$A113),COUNTIF(INDIRECT(T$1&amp;"!$a1:$a10000"),汇总!$A113)),T112)</f>
        <v/>
      </c>
    </row>
    <row r="114">
      <c r="A114" s="1">
        <f>+A113+1</f>
        <v/>
      </c>
      <c r="B114" s="563">
        <f t="array" ref="B114">IFERROR(INDEX(_xlfn._xlws.FILTER(INDIRECT(B$1&amp;"!$E1:$E10000"),INDIRECT(B$1&amp;"!$a1:$a10000")=汇总!$A114),COUNTIF(INDIRECT(B$1&amp;"!$a1:$a10000"),汇总!$A114)),B113)</f>
        <v/>
      </c>
      <c r="C114" s="563">
        <f t="array" ref="C114">IFERROR(INDEX(_xlfn._xlws.FILTER(INDIRECT(C$1&amp;"!$E1:$E10000"),INDIRECT(C$1&amp;"!$a1:$a10000")=汇总!$A114),COUNTIF(INDIRECT(C$1&amp;"!$a1:$a10000"),汇总!$A114)),C113)</f>
        <v/>
      </c>
      <c r="D114" s="563">
        <f t="array" ref="D114">IFERROR(INDEX(_xlfn._xlws.FILTER(INDIRECT(D$1&amp;"!$E1:$E10000"),INDIRECT(D$1&amp;"!$a1:$a10000")=汇总!$A114),COUNTIF(INDIRECT(D$1&amp;"!$a1:$a10000"),汇总!$A114)),D113)</f>
        <v/>
      </c>
      <c r="E114" s="563">
        <f t="array" ref="E114">IFERROR(INDEX(_xlfn._xlws.FILTER(INDIRECT(E$1&amp;"!$E1:$E10000"),INDIRECT(E$1&amp;"!$a1:$a10000")=汇总!$A114),COUNTIF(INDIRECT(E$1&amp;"!$a1:$a10000"),汇总!$A114)),E113)</f>
        <v/>
      </c>
      <c r="F114" s="563">
        <f t="array" ref="F114">IFERROR(INDEX(_xlfn._xlws.FILTER(INDIRECT(F$1&amp;"!$E1:$E10000"),INDIRECT(F$1&amp;"!$a1:$a10000")=汇总!$A114),COUNTIF(INDIRECT(F$1&amp;"!$a1:$a10000"),汇总!$A114)),F113)</f>
        <v/>
      </c>
      <c r="G114" s="563">
        <f t="array" ref="G114">IFERROR(INDEX(_xlfn._xlws.FILTER(INDIRECT(G$1&amp;"!$E1:$E10000"),INDIRECT(G$1&amp;"!$a1:$a10000")=汇总!$A114),COUNTIF(INDIRECT(G$1&amp;"!$a1:$a10000"),汇总!$A114)),G113)</f>
        <v/>
      </c>
      <c r="H114" s="563">
        <f t="array" ref="H114">IFERROR(INDEX(_xlfn._xlws.FILTER(INDIRECT(H$1&amp;"!$E1:$E10000"),INDIRECT(H$1&amp;"!$a1:$a10000")=汇总!$A114),COUNTIF(INDIRECT(H$1&amp;"!$a1:$a10000"),汇总!$A114)),H113)</f>
        <v/>
      </c>
      <c r="I114" s="563">
        <f t="array" ref="I114">IFERROR(INDEX(_xlfn._xlws.FILTER(INDIRECT(I$1&amp;"!$E1:$E10000"),INDIRECT(I$1&amp;"!$a1:$a10000")=汇总!$A114),COUNTIF(INDIRECT(I$1&amp;"!$a1:$a10000"),汇总!$A114)),I113)</f>
        <v/>
      </c>
      <c r="J114" s="563">
        <f t="array" ref="J114">IFERROR(INDEX(_xlfn._xlws.FILTER(INDIRECT(J$1&amp;"!$E1:$E10000"),INDIRECT(J$1&amp;"!$a1:$a10000")=汇总!$A114),COUNTIF(INDIRECT(J$1&amp;"!$a1:$a10000"),汇总!$A114)),J113)</f>
        <v/>
      </c>
      <c r="K114" s="563">
        <f t="array" ref="K114">IFERROR(INDEX(_xlfn._xlws.FILTER(INDIRECT(K$1&amp;"!$E1:$E10000"),INDIRECT(K$1&amp;"!$a1:$a10000")=汇总!$A114),COUNTIF(INDIRECT(K$1&amp;"!$a1:$a10000"),汇总!$A114)),K113)</f>
        <v/>
      </c>
      <c r="L114" s="563">
        <f t="array" ref="L114">IFERROR(INDEX(_xlfn._xlws.FILTER(INDIRECT(L$1&amp;"!$E1:$E10000"),INDIRECT(L$1&amp;"!$a1:$a10000")=汇总!$A114),COUNTIF(INDIRECT(L$1&amp;"!$a1:$a10000"),汇总!$A114)),L113)</f>
        <v/>
      </c>
      <c r="M114" s="563">
        <f t="array" ref="M114">IFERROR(INDEX(_xlfn._xlws.FILTER(INDIRECT(M$1&amp;"!$E1:$E10000"),INDIRECT(M$1&amp;"!$a1:$a10000")=汇总!$A114),COUNTIF(INDIRECT(M$1&amp;"!$a1:$a10000"),汇总!$A114)),M113)</f>
        <v/>
      </c>
      <c r="N114" s="563">
        <f t="array" ref="N114">IFERROR(INDEX(_xlfn._xlws.FILTER(INDIRECT(N$1&amp;"!$E1:$E10000"),INDIRECT(N$1&amp;"!$a1:$a10000")=汇总!$A114),COUNTIF(INDIRECT(N$1&amp;"!$a1:$a10000"),汇总!$A114)),N113)</f>
        <v/>
      </c>
      <c r="O114" s="563">
        <f t="array" ref="O114">IFERROR(INDEX(_xlfn._xlws.FILTER(INDIRECT(O$1&amp;"!$E1:$E10000"),INDIRECT(O$1&amp;"!$a1:$a10000")=汇总!$A114),COUNTIF(INDIRECT(O$1&amp;"!$a1:$a10000"),汇总!$A114)),O113)</f>
        <v/>
      </c>
      <c r="P114" s="563">
        <f t="array" ref="P114">IFERROR(INDEX(_xlfn._xlws.FILTER(INDIRECT(P$1&amp;"!$E1:$E10000"),INDIRECT(P$1&amp;"!$a1:$a10000")=汇总!$A114),COUNTIF(INDIRECT(P$1&amp;"!$a1:$a10000"),汇总!$A114)),P113)</f>
        <v/>
      </c>
      <c r="Q114" s="563">
        <f t="array" ref="Q114">IFERROR(INDEX(_xlfn._xlws.FILTER(INDIRECT(Q$1&amp;"!$E1:$E10000"),INDIRECT(Q$1&amp;"!$a1:$a10000")=汇总!$A114),COUNTIF(INDIRECT(Q$1&amp;"!$a1:$a10000"),汇总!$A114)),Q113)</f>
        <v/>
      </c>
      <c r="R114" s="563">
        <f t="array" ref="R114">IFERROR(INDEX(_xlfn._xlws.FILTER(INDIRECT(R$1&amp;"!$E1:$E10000"),INDIRECT(R$1&amp;"!$a1:$a10000")=汇总!$A114),COUNTIF(INDIRECT(R$1&amp;"!$a1:$a10000"),汇总!$A114)),R113)</f>
        <v/>
      </c>
      <c r="S114" s="563">
        <f t="array" ref="S114">IFERROR(INDEX(_xlfn._xlws.FILTER(INDIRECT(S$1&amp;"!$E1:$E10000"),INDIRECT(S$1&amp;"!$a1:$a10000")=汇总!$A114),COUNTIF(INDIRECT(S$1&amp;"!$a1:$a10000"),汇总!$A114)),S113)</f>
        <v/>
      </c>
      <c r="T114" s="563">
        <f t="array" ref="T114">IFERROR(INDEX(_xlfn._xlws.FILTER(INDIRECT(T$1&amp;"!$E1:$E10000"),INDIRECT(T$1&amp;"!$a1:$a10000")=汇总!$A114),COUNTIF(INDIRECT(T$1&amp;"!$a1:$a10000"),汇总!$A114)),T113)</f>
        <v/>
      </c>
    </row>
    <row r="115">
      <c r="A115" s="1">
        <f>+A114+1</f>
        <v/>
      </c>
      <c r="B115" s="563">
        <f t="array" ref="B115">IFERROR(INDEX(_xlfn._xlws.FILTER(INDIRECT(B$1&amp;"!$E1:$E10000"),INDIRECT(B$1&amp;"!$a1:$a10000")=汇总!$A115),COUNTIF(INDIRECT(B$1&amp;"!$a1:$a10000"),汇总!$A115)),B114)</f>
        <v/>
      </c>
      <c r="C115" s="563">
        <f t="array" ref="C115">IFERROR(INDEX(_xlfn._xlws.FILTER(INDIRECT(C$1&amp;"!$E1:$E10000"),INDIRECT(C$1&amp;"!$a1:$a10000")=汇总!$A115),COUNTIF(INDIRECT(C$1&amp;"!$a1:$a10000"),汇总!$A115)),C114)</f>
        <v/>
      </c>
      <c r="D115" s="563">
        <f t="array" ref="D115">IFERROR(INDEX(_xlfn._xlws.FILTER(INDIRECT(D$1&amp;"!$E1:$E10000"),INDIRECT(D$1&amp;"!$a1:$a10000")=汇总!$A115),COUNTIF(INDIRECT(D$1&amp;"!$a1:$a10000"),汇总!$A115)),D114)</f>
        <v/>
      </c>
      <c r="E115" s="563">
        <f t="array" ref="E115">IFERROR(INDEX(_xlfn._xlws.FILTER(INDIRECT(E$1&amp;"!$E1:$E10000"),INDIRECT(E$1&amp;"!$a1:$a10000")=汇总!$A115),COUNTIF(INDIRECT(E$1&amp;"!$a1:$a10000"),汇总!$A115)),E114)</f>
        <v/>
      </c>
      <c r="F115" s="563">
        <f t="array" ref="F115">IFERROR(INDEX(_xlfn._xlws.FILTER(INDIRECT(F$1&amp;"!$E1:$E10000"),INDIRECT(F$1&amp;"!$a1:$a10000")=汇总!$A115),COUNTIF(INDIRECT(F$1&amp;"!$a1:$a10000"),汇总!$A115)),F114)</f>
        <v/>
      </c>
      <c r="G115" s="563">
        <f t="array" ref="G115">IFERROR(INDEX(_xlfn._xlws.FILTER(INDIRECT(G$1&amp;"!$E1:$E10000"),INDIRECT(G$1&amp;"!$a1:$a10000")=汇总!$A115),COUNTIF(INDIRECT(G$1&amp;"!$a1:$a10000"),汇总!$A115)),G114)</f>
        <v/>
      </c>
      <c r="H115" s="563">
        <f t="array" ref="H115">IFERROR(INDEX(_xlfn._xlws.FILTER(INDIRECT(H$1&amp;"!$E1:$E10000"),INDIRECT(H$1&amp;"!$a1:$a10000")=汇总!$A115),COUNTIF(INDIRECT(H$1&amp;"!$a1:$a10000"),汇总!$A115)),H114)</f>
        <v/>
      </c>
      <c r="I115" s="563">
        <f t="array" ref="I115">IFERROR(INDEX(_xlfn._xlws.FILTER(INDIRECT(I$1&amp;"!$E1:$E10000"),INDIRECT(I$1&amp;"!$a1:$a10000")=汇总!$A115),COUNTIF(INDIRECT(I$1&amp;"!$a1:$a10000"),汇总!$A115)),I114)</f>
        <v/>
      </c>
      <c r="J115" s="563">
        <f t="array" ref="J115">IFERROR(INDEX(_xlfn._xlws.FILTER(INDIRECT(J$1&amp;"!$E1:$E10000"),INDIRECT(J$1&amp;"!$a1:$a10000")=汇总!$A115),COUNTIF(INDIRECT(J$1&amp;"!$a1:$a10000"),汇总!$A115)),J114)</f>
        <v/>
      </c>
      <c r="K115" s="563">
        <f t="array" ref="K115">IFERROR(INDEX(_xlfn._xlws.FILTER(INDIRECT(K$1&amp;"!$E1:$E10000"),INDIRECT(K$1&amp;"!$a1:$a10000")=汇总!$A115),COUNTIF(INDIRECT(K$1&amp;"!$a1:$a10000"),汇总!$A115)),K114)</f>
        <v/>
      </c>
      <c r="L115" s="563">
        <f t="array" ref="L115">IFERROR(INDEX(_xlfn._xlws.FILTER(INDIRECT(L$1&amp;"!$E1:$E10000"),INDIRECT(L$1&amp;"!$a1:$a10000")=汇总!$A115),COUNTIF(INDIRECT(L$1&amp;"!$a1:$a10000"),汇总!$A115)),L114)</f>
        <v/>
      </c>
      <c r="M115" s="563">
        <f t="array" ref="M115">IFERROR(INDEX(_xlfn._xlws.FILTER(INDIRECT(M$1&amp;"!$E1:$E10000"),INDIRECT(M$1&amp;"!$a1:$a10000")=汇总!$A115),COUNTIF(INDIRECT(M$1&amp;"!$a1:$a10000"),汇总!$A115)),M114)</f>
        <v/>
      </c>
      <c r="N115" s="563">
        <f t="array" ref="N115">IFERROR(INDEX(_xlfn._xlws.FILTER(INDIRECT(N$1&amp;"!$E1:$E10000"),INDIRECT(N$1&amp;"!$a1:$a10000")=汇总!$A115),COUNTIF(INDIRECT(N$1&amp;"!$a1:$a10000"),汇总!$A115)),N114)</f>
        <v/>
      </c>
      <c r="O115" s="563">
        <f t="array" ref="O115">IFERROR(INDEX(_xlfn._xlws.FILTER(INDIRECT(O$1&amp;"!$E1:$E10000"),INDIRECT(O$1&amp;"!$a1:$a10000")=汇总!$A115),COUNTIF(INDIRECT(O$1&amp;"!$a1:$a10000"),汇总!$A115)),O114)</f>
        <v/>
      </c>
      <c r="P115" s="563">
        <f t="array" ref="P115">IFERROR(INDEX(_xlfn._xlws.FILTER(INDIRECT(P$1&amp;"!$E1:$E10000"),INDIRECT(P$1&amp;"!$a1:$a10000")=汇总!$A115),COUNTIF(INDIRECT(P$1&amp;"!$a1:$a10000"),汇总!$A115)),P114)</f>
        <v/>
      </c>
      <c r="Q115" s="563">
        <f t="array" ref="Q115">IFERROR(INDEX(_xlfn._xlws.FILTER(INDIRECT(Q$1&amp;"!$E1:$E10000"),INDIRECT(Q$1&amp;"!$a1:$a10000")=汇总!$A115),COUNTIF(INDIRECT(Q$1&amp;"!$a1:$a10000"),汇总!$A115)),Q114)</f>
        <v/>
      </c>
      <c r="R115" s="563">
        <f t="array" ref="R115">IFERROR(INDEX(_xlfn._xlws.FILTER(INDIRECT(R$1&amp;"!$E1:$E10000"),INDIRECT(R$1&amp;"!$a1:$a10000")=汇总!$A115),COUNTIF(INDIRECT(R$1&amp;"!$a1:$a10000"),汇总!$A115)),R114)</f>
        <v/>
      </c>
      <c r="S115" s="563">
        <f t="array" ref="S115">IFERROR(INDEX(_xlfn._xlws.FILTER(INDIRECT(S$1&amp;"!$E1:$E10000"),INDIRECT(S$1&amp;"!$a1:$a10000")=汇总!$A115),COUNTIF(INDIRECT(S$1&amp;"!$a1:$a10000"),汇总!$A115)),S114)</f>
        <v/>
      </c>
      <c r="T115" s="563">
        <f t="array" ref="T115">IFERROR(INDEX(_xlfn._xlws.FILTER(INDIRECT(T$1&amp;"!$E1:$E10000"),INDIRECT(T$1&amp;"!$a1:$a10000")=汇总!$A115),COUNTIF(INDIRECT(T$1&amp;"!$a1:$a10000"),汇总!$A115)),T114)</f>
        <v/>
      </c>
    </row>
    <row r="116">
      <c r="A116" s="1">
        <f>+A115+1</f>
        <v/>
      </c>
      <c r="B116" s="563">
        <f t="array" ref="B116">IFERROR(INDEX(_xlfn._xlws.FILTER(INDIRECT(B$1&amp;"!$E1:$E10000"),INDIRECT(B$1&amp;"!$a1:$a10000")=汇总!$A116),COUNTIF(INDIRECT(B$1&amp;"!$a1:$a10000"),汇总!$A116)),B115)</f>
        <v/>
      </c>
      <c r="C116" s="563">
        <f t="array" ref="C116">IFERROR(INDEX(_xlfn._xlws.FILTER(INDIRECT(C$1&amp;"!$E1:$E10000"),INDIRECT(C$1&amp;"!$a1:$a10000")=汇总!$A116),COUNTIF(INDIRECT(C$1&amp;"!$a1:$a10000"),汇总!$A116)),C115)</f>
        <v/>
      </c>
      <c r="D116" s="563">
        <f t="array" ref="D116">IFERROR(INDEX(_xlfn._xlws.FILTER(INDIRECT(D$1&amp;"!$E1:$E10000"),INDIRECT(D$1&amp;"!$a1:$a10000")=汇总!$A116),COUNTIF(INDIRECT(D$1&amp;"!$a1:$a10000"),汇总!$A116)),D115)</f>
        <v/>
      </c>
      <c r="E116" s="563">
        <f t="array" ref="E116">IFERROR(INDEX(_xlfn._xlws.FILTER(INDIRECT(E$1&amp;"!$E1:$E10000"),INDIRECT(E$1&amp;"!$a1:$a10000")=汇总!$A116),COUNTIF(INDIRECT(E$1&amp;"!$a1:$a10000"),汇总!$A116)),E115)</f>
        <v/>
      </c>
      <c r="F116" s="563">
        <f t="array" ref="F116">IFERROR(INDEX(_xlfn._xlws.FILTER(INDIRECT(F$1&amp;"!$E1:$E10000"),INDIRECT(F$1&amp;"!$a1:$a10000")=汇总!$A116),COUNTIF(INDIRECT(F$1&amp;"!$a1:$a10000"),汇总!$A116)),F115)</f>
        <v/>
      </c>
      <c r="G116" s="563">
        <f t="array" ref="G116">IFERROR(INDEX(_xlfn._xlws.FILTER(INDIRECT(G$1&amp;"!$E1:$E10000"),INDIRECT(G$1&amp;"!$a1:$a10000")=汇总!$A116),COUNTIF(INDIRECT(G$1&amp;"!$a1:$a10000"),汇总!$A116)),G115)</f>
        <v/>
      </c>
      <c r="H116" s="563">
        <f t="array" ref="H116">IFERROR(INDEX(_xlfn._xlws.FILTER(INDIRECT(H$1&amp;"!$E1:$E10000"),INDIRECT(H$1&amp;"!$a1:$a10000")=汇总!$A116),COUNTIF(INDIRECT(H$1&amp;"!$a1:$a10000"),汇总!$A116)),H115)</f>
        <v/>
      </c>
      <c r="I116" s="563">
        <f t="array" ref="I116">IFERROR(INDEX(_xlfn._xlws.FILTER(INDIRECT(I$1&amp;"!$E1:$E10000"),INDIRECT(I$1&amp;"!$a1:$a10000")=汇总!$A116),COUNTIF(INDIRECT(I$1&amp;"!$a1:$a10000"),汇总!$A116)),I115)</f>
        <v/>
      </c>
      <c r="J116" s="563">
        <f t="array" ref="J116">IFERROR(INDEX(_xlfn._xlws.FILTER(INDIRECT(J$1&amp;"!$E1:$E10000"),INDIRECT(J$1&amp;"!$a1:$a10000")=汇总!$A116),COUNTIF(INDIRECT(J$1&amp;"!$a1:$a10000"),汇总!$A116)),J115)</f>
        <v/>
      </c>
      <c r="K116" s="563">
        <f t="array" ref="K116">IFERROR(INDEX(_xlfn._xlws.FILTER(INDIRECT(K$1&amp;"!$E1:$E10000"),INDIRECT(K$1&amp;"!$a1:$a10000")=汇总!$A116),COUNTIF(INDIRECT(K$1&amp;"!$a1:$a10000"),汇总!$A116)),K115)</f>
        <v/>
      </c>
      <c r="L116" s="563">
        <f t="array" ref="L116">IFERROR(INDEX(_xlfn._xlws.FILTER(INDIRECT(L$1&amp;"!$E1:$E10000"),INDIRECT(L$1&amp;"!$a1:$a10000")=汇总!$A116),COUNTIF(INDIRECT(L$1&amp;"!$a1:$a10000"),汇总!$A116)),L115)</f>
        <v/>
      </c>
      <c r="M116" s="563">
        <f t="array" ref="M116">IFERROR(INDEX(_xlfn._xlws.FILTER(INDIRECT(M$1&amp;"!$E1:$E10000"),INDIRECT(M$1&amp;"!$a1:$a10000")=汇总!$A116),COUNTIF(INDIRECT(M$1&amp;"!$a1:$a10000"),汇总!$A116)),M115)</f>
        <v/>
      </c>
      <c r="N116" s="563">
        <f t="array" ref="N116">IFERROR(INDEX(_xlfn._xlws.FILTER(INDIRECT(N$1&amp;"!$E1:$E10000"),INDIRECT(N$1&amp;"!$a1:$a10000")=汇总!$A116),COUNTIF(INDIRECT(N$1&amp;"!$a1:$a10000"),汇总!$A116)),N115)</f>
        <v/>
      </c>
      <c r="O116" s="563">
        <f t="array" ref="O116">IFERROR(INDEX(_xlfn._xlws.FILTER(INDIRECT(O$1&amp;"!$E1:$E10000"),INDIRECT(O$1&amp;"!$a1:$a10000")=汇总!$A116),COUNTIF(INDIRECT(O$1&amp;"!$a1:$a10000"),汇总!$A116)),O115)</f>
        <v/>
      </c>
      <c r="P116" s="563">
        <f t="array" ref="P116">IFERROR(INDEX(_xlfn._xlws.FILTER(INDIRECT(P$1&amp;"!$E1:$E10000"),INDIRECT(P$1&amp;"!$a1:$a10000")=汇总!$A116),COUNTIF(INDIRECT(P$1&amp;"!$a1:$a10000"),汇总!$A116)),P115)</f>
        <v/>
      </c>
      <c r="Q116" s="563">
        <f t="array" ref="Q116">IFERROR(INDEX(_xlfn._xlws.FILTER(INDIRECT(Q$1&amp;"!$E1:$E10000"),INDIRECT(Q$1&amp;"!$a1:$a10000")=汇总!$A116),COUNTIF(INDIRECT(Q$1&amp;"!$a1:$a10000"),汇总!$A116)),Q115)</f>
        <v/>
      </c>
      <c r="R116" s="563">
        <f t="array" ref="R116">IFERROR(INDEX(_xlfn._xlws.FILTER(INDIRECT(R$1&amp;"!$E1:$E10000"),INDIRECT(R$1&amp;"!$a1:$a10000")=汇总!$A116),COUNTIF(INDIRECT(R$1&amp;"!$a1:$a10000"),汇总!$A116)),R115)</f>
        <v/>
      </c>
      <c r="S116" s="563">
        <f t="array" ref="S116">IFERROR(INDEX(_xlfn._xlws.FILTER(INDIRECT(S$1&amp;"!$E1:$E10000"),INDIRECT(S$1&amp;"!$a1:$a10000")=汇总!$A116),COUNTIF(INDIRECT(S$1&amp;"!$a1:$a10000"),汇总!$A116)),S115)</f>
        <v/>
      </c>
      <c r="T116" s="563">
        <f t="array" ref="T116">IFERROR(INDEX(_xlfn._xlws.FILTER(INDIRECT(T$1&amp;"!$E1:$E10000"),INDIRECT(T$1&amp;"!$a1:$a10000")=汇总!$A116),COUNTIF(INDIRECT(T$1&amp;"!$a1:$a10000"),汇总!$A116)),T115)</f>
        <v/>
      </c>
    </row>
    <row r="117">
      <c r="A117" s="1">
        <f>+A116+1</f>
        <v/>
      </c>
      <c r="B117" s="563">
        <f t="array" ref="B117">IFERROR(INDEX(_xlfn._xlws.FILTER(INDIRECT(B$1&amp;"!$E1:$E10000"),INDIRECT(B$1&amp;"!$a1:$a10000")=汇总!$A117),COUNTIF(INDIRECT(B$1&amp;"!$a1:$a10000"),汇总!$A117)),B116)</f>
        <v/>
      </c>
      <c r="C117" s="563">
        <f t="array" ref="C117">IFERROR(INDEX(_xlfn._xlws.FILTER(INDIRECT(C$1&amp;"!$E1:$E10000"),INDIRECT(C$1&amp;"!$a1:$a10000")=汇总!$A117),COUNTIF(INDIRECT(C$1&amp;"!$a1:$a10000"),汇总!$A117)),C116)</f>
        <v/>
      </c>
      <c r="D117" s="563">
        <f t="array" ref="D117">IFERROR(INDEX(_xlfn._xlws.FILTER(INDIRECT(D$1&amp;"!$E1:$E10000"),INDIRECT(D$1&amp;"!$a1:$a10000")=汇总!$A117),COUNTIF(INDIRECT(D$1&amp;"!$a1:$a10000"),汇总!$A117)),D116)</f>
        <v/>
      </c>
      <c r="E117" s="563">
        <f t="array" ref="E117">IFERROR(INDEX(_xlfn._xlws.FILTER(INDIRECT(E$1&amp;"!$E1:$E10000"),INDIRECT(E$1&amp;"!$a1:$a10000")=汇总!$A117),COUNTIF(INDIRECT(E$1&amp;"!$a1:$a10000"),汇总!$A117)),E116)</f>
        <v/>
      </c>
      <c r="F117" s="563">
        <f t="array" ref="F117">IFERROR(INDEX(_xlfn._xlws.FILTER(INDIRECT(F$1&amp;"!$E1:$E10000"),INDIRECT(F$1&amp;"!$a1:$a10000")=汇总!$A117),COUNTIF(INDIRECT(F$1&amp;"!$a1:$a10000"),汇总!$A117)),F116)</f>
        <v/>
      </c>
      <c r="G117" s="563">
        <f t="array" ref="G117">IFERROR(INDEX(_xlfn._xlws.FILTER(INDIRECT(G$1&amp;"!$E1:$E10000"),INDIRECT(G$1&amp;"!$a1:$a10000")=汇总!$A117),COUNTIF(INDIRECT(G$1&amp;"!$a1:$a10000"),汇总!$A117)),G116)</f>
        <v/>
      </c>
      <c r="H117" s="563">
        <f t="array" ref="H117">IFERROR(INDEX(_xlfn._xlws.FILTER(INDIRECT(H$1&amp;"!$E1:$E10000"),INDIRECT(H$1&amp;"!$a1:$a10000")=汇总!$A117),COUNTIF(INDIRECT(H$1&amp;"!$a1:$a10000"),汇总!$A117)),H116)</f>
        <v/>
      </c>
      <c r="I117" s="563">
        <f t="array" ref="I117">IFERROR(INDEX(_xlfn._xlws.FILTER(INDIRECT(I$1&amp;"!$E1:$E10000"),INDIRECT(I$1&amp;"!$a1:$a10000")=汇总!$A117),COUNTIF(INDIRECT(I$1&amp;"!$a1:$a10000"),汇总!$A117)),I116)</f>
        <v/>
      </c>
      <c r="J117" s="563">
        <f t="array" ref="J117">IFERROR(INDEX(_xlfn._xlws.FILTER(INDIRECT(J$1&amp;"!$E1:$E10000"),INDIRECT(J$1&amp;"!$a1:$a10000")=汇总!$A117),COUNTIF(INDIRECT(J$1&amp;"!$a1:$a10000"),汇总!$A117)),J116)</f>
        <v/>
      </c>
      <c r="K117" s="563">
        <f t="array" ref="K117">IFERROR(INDEX(_xlfn._xlws.FILTER(INDIRECT(K$1&amp;"!$E1:$E10000"),INDIRECT(K$1&amp;"!$a1:$a10000")=汇总!$A117),COUNTIF(INDIRECT(K$1&amp;"!$a1:$a10000"),汇总!$A117)),K116)</f>
        <v/>
      </c>
      <c r="L117" s="563">
        <f t="array" ref="L117">IFERROR(INDEX(_xlfn._xlws.FILTER(INDIRECT(L$1&amp;"!$E1:$E10000"),INDIRECT(L$1&amp;"!$a1:$a10000")=汇总!$A117),COUNTIF(INDIRECT(L$1&amp;"!$a1:$a10000"),汇总!$A117)),L116)</f>
        <v/>
      </c>
      <c r="M117" s="563">
        <f t="array" ref="M117">IFERROR(INDEX(_xlfn._xlws.FILTER(INDIRECT(M$1&amp;"!$E1:$E10000"),INDIRECT(M$1&amp;"!$a1:$a10000")=汇总!$A117),COUNTIF(INDIRECT(M$1&amp;"!$a1:$a10000"),汇总!$A117)),M116)</f>
        <v/>
      </c>
      <c r="N117" s="563">
        <f t="array" ref="N117">IFERROR(INDEX(_xlfn._xlws.FILTER(INDIRECT(N$1&amp;"!$E1:$E10000"),INDIRECT(N$1&amp;"!$a1:$a10000")=汇总!$A117),COUNTIF(INDIRECT(N$1&amp;"!$a1:$a10000"),汇总!$A117)),N116)</f>
        <v/>
      </c>
      <c r="O117" s="563">
        <f t="array" ref="O117">IFERROR(INDEX(_xlfn._xlws.FILTER(INDIRECT(O$1&amp;"!$E1:$E10000"),INDIRECT(O$1&amp;"!$a1:$a10000")=汇总!$A117),COUNTIF(INDIRECT(O$1&amp;"!$a1:$a10000"),汇总!$A117)),O116)</f>
        <v/>
      </c>
      <c r="P117" s="563">
        <f t="array" ref="P117">IFERROR(INDEX(_xlfn._xlws.FILTER(INDIRECT(P$1&amp;"!$E1:$E10000"),INDIRECT(P$1&amp;"!$a1:$a10000")=汇总!$A117),COUNTIF(INDIRECT(P$1&amp;"!$a1:$a10000"),汇总!$A117)),P116)</f>
        <v/>
      </c>
      <c r="Q117" s="563">
        <f t="array" ref="Q117">IFERROR(INDEX(_xlfn._xlws.FILTER(INDIRECT(Q$1&amp;"!$E1:$E10000"),INDIRECT(Q$1&amp;"!$a1:$a10000")=汇总!$A117),COUNTIF(INDIRECT(Q$1&amp;"!$a1:$a10000"),汇总!$A117)),Q116)</f>
        <v/>
      </c>
      <c r="R117" s="563">
        <f t="array" ref="R117">IFERROR(INDEX(_xlfn._xlws.FILTER(INDIRECT(R$1&amp;"!$E1:$E10000"),INDIRECT(R$1&amp;"!$a1:$a10000")=汇总!$A117),COUNTIF(INDIRECT(R$1&amp;"!$a1:$a10000"),汇总!$A117)),R116)</f>
        <v/>
      </c>
      <c r="S117" s="563">
        <f t="array" ref="S117">IFERROR(INDEX(_xlfn._xlws.FILTER(INDIRECT(S$1&amp;"!$E1:$E10000"),INDIRECT(S$1&amp;"!$a1:$a10000")=汇总!$A117),COUNTIF(INDIRECT(S$1&amp;"!$a1:$a10000"),汇总!$A117)),S116)</f>
        <v/>
      </c>
      <c r="T117" s="563">
        <f t="array" ref="T117">IFERROR(INDEX(_xlfn._xlws.FILTER(INDIRECT(T$1&amp;"!$E1:$E10000"),INDIRECT(T$1&amp;"!$a1:$a10000")=汇总!$A117),COUNTIF(INDIRECT(T$1&amp;"!$a1:$a10000"),汇总!$A117)),T116)</f>
        <v/>
      </c>
    </row>
    <row r="118">
      <c r="A118" s="1">
        <f>+A117+1</f>
        <v/>
      </c>
      <c r="B118" s="563">
        <f t="array" ref="B118">IFERROR(INDEX(_xlfn._xlws.FILTER(INDIRECT(B$1&amp;"!$E1:$E10000"),INDIRECT(B$1&amp;"!$a1:$a10000")=汇总!$A118),COUNTIF(INDIRECT(B$1&amp;"!$a1:$a10000"),汇总!$A118)),B117)</f>
        <v/>
      </c>
      <c r="C118" s="563">
        <f t="array" ref="C118">IFERROR(INDEX(_xlfn._xlws.FILTER(INDIRECT(C$1&amp;"!$E1:$E10000"),INDIRECT(C$1&amp;"!$a1:$a10000")=汇总!$A118),COUNTIF(INDIRECT(C$1&amp;"!$a1:$a10000"),汇总!$A118)),C117)</f>
        <v/>
      </c>
      <c r="D118" s="563">
        <f t="array" ref="D118">IFERROR(INDEX(_xlfn._xlws.FILTER(INDIRECT(D$1&amp;"!$E1:$E10000"),INDIRECT(D$1&amp;"!$a1:$a10000")=汇总!$A118),COUNTIF(INDIRECT(D$1&amp;"!$a1:$a10000"),汇总!$A118)),D117)</f>
        <v/>
      </c>
      <c r="E118" s="563">
        <f t="array" ref="E118">IFERROR(INDEX(_xlfn._xlws.FILTER(INDIRECT(E$1&amp;"!$E1:$E10000"),INDIRECT(E$1&amp;"!$a1:$a10000")=汇总!$A118),COUNTIF(INDIRECT(E$1&amp;"!$a1:$a10000"),汇总!$A118)),E117)</f>
        <v/>
      </c>
      <c r="F118" s="563">
        <f t="array" ref="F118">IFERROR(INDEX(_xlfn._xlws.FILTER(INDIRECT(F$1&amp;"!$E1:$E10000"),INDIRECT(F$1&amp;"!$a1:$a10000")=汇总!$A118),COUNTIF(INDIRECT(F$1&amp;"!$a1:$a10000"),汇总!$A118)),F117)</f>
        <v/>
      </c>
      <c r="G118" s="563">
        <f t="array" ref="G118">IFERROR(INDEX(_xlfn._xlws.FILTER(INDIRECT(G$1&amp;"!$E1:$E10000"),INDIRECT(G$1&amp;"!$a1:$a10000")=汇总!$A118),COUNTIF(INDIRECT(G$1&amp;"!$a1:$a10000"),汇总!$A118)),G117)</f>
        <v/>
      </c>
      <c r="H118" s="563">
        <f t="array" ref="H118">IFERROR(INDEX(_xlfn._xlws.FILTER(INDIRECT(H$1&amp;"!$E1:$E10000"),INDIRECT(H$1&amp;"!$a1:$a10000")=汇总!$A118),COUNTIF(INDIRECT(H$1&amp;"!$a1:$a10000"),汇总!$A118)),H117)</f>
        <v/>
      </c>
      <c r="I118" s="563">
        <f t="array" ref="I118">IFERROR(INDEX(_xlfn._xlws.FILTER(INDIRECT(I$1&amp;"!$E1:$E10000"),INDIRECT(I$1&amp;"!$a1:$a10000")=汇总!$A118),COUNTIF(INDIRECT(I$1&amp;"!$a1:$a10000"),汇总!$A118)),I117)</f>
        <v/>
      </c>
      <c r="J118" s="563">
        <f t="array" ref="J118">IFERROR(INDEX(_xlfn._xlws.FILTER(INDIRECT(J$1&amp;"!$E1:$E10000"),INDIRECT(J$1&amp;"!$a1:$a10000")=汇总!$A118),COUNTIF(INDIRECT(J$1&amp;"!$a1:$a10000"),汇总!$A118)),J117)</f>
        <v/>
      </c>
      <c r="K118" s="563">
        <f t="array" ref="K118">IFERROR(INDEX(_xlfn._xlws.FILTER(INDIRECT(K$1&amp;"!$E1:$E10000"),INDIRECT(K$1&amp;"!$a1:$a10000")=汇总!$A118),COUNTIF(INDIRECT(K$1&amp;"!$a1:$a10000"),汇总!$A118)),K117)</f>
        <v/>
      </c>
      <c r="L118" s="563">
        <f t="array" ref="L118">IFERROR(INDEX(_xlfn._xlws.FILTER(INDIRECT(L$1&amp;"!$E1:$E10000"),INDIRECT(L$1&amp;"!$a1:$a10000")=汇总!$A118),COUNTIF(INDIRECT(L$1&amp;"!$a1:$a10000"),汇总!$A118)),L117)</f>
        <v/>
      </c>
      <c r="M118" s="563">
        <f t="array" ref="M118">IFERROR(INDEX(_xlfn._xlws.FILTER(INDIRECT(M$1&amp;"!$E1:$E10000"),INDIRECT(M$1&amp;"!$a1:$a10000")=汇总!$A118),COUNTIF(INDIRECT(M$1&amp;"!$a1:$a10000"),汇总!$A118)),M117)</f>
        <v/>
      </c>
      <c r="N118" s="563">
        <f t="array" ref="N118">IFERROR(INDEX(_xlfn._xlws.FILTER(INDIRECT(N$1&amp;"!$E1:$E10000"),INDIRECT(N$1&amp;"!$a1:$a10000")=汇总!$A118),COUNTIF(INDIRECT(N$1&amp;"!$a1:$a10000"),汇总!$A118)),N117)</f>
        <v/>
      </c>
      <c r="O118" s="563">
        <f t="array" ref="O118">IFERROR(INDEX(_xlfn._xlws.FILTER(INDIRECT(O$1&amp;"!$E1:$E10000"),INDIRECT(O$1&amp;"!$a1:$a10000")=汇总!$A118),COUNTIF(INDIRECT(O$1&amp;"!$a1:$a10000"),汇总!$A118)),O117)</f>
        <v/>
      </c>
      <c r="P118" s="563">
        <f t="array" ref="P118">IFERROR(INDEX(_xlfn._xlws.FILTER(INDIRECT(P$1&amp;"!$E1:$E10000"),INDIRECT(P$1&amp;"!$a1:$a10000")=汇总!$A118),COUNTIF(INDIRECT(P$1&amp;"!$a1:$a10000"),汇总!$A118)),P117)</f>
        <v/>
      </c>
      <c r="Q118" s="563">
        <f t="array" ref="Q118">IFERROR(INDEX(_xlfn._xlws.FILTER(INDIRECT(Q$1&amp;"!$E1:$E10000"),INDIRECT(Q$1&amp;"!$a1:$a10000")=汇总!$A118),COUNTIF(INDIRECT(Q$1&amp;"!$a1:$a10000"),汇总!$A118)),Q117)</f>
        <v/>
      </c>
      <c r="R118" s="563">
        <f t="array" ref="R118">IFERROR(INDEX(_xlfn._xlws.FILTER(INDIRECT(R$1&amp;"!$E1:$E10000"),INDIRECT(R$1&amp;"!$a1:$a10000")=汇总!$A118),COUNTIF(INDIRECT(R$1&amp;"!$a1:$a10000"),汇总!$A118)),R117)</f>
        <v/>
      </c>
      <c r="S118" s="563">
        <f t="array" ref="S118">IFERROR(INDEX(_xlfn._xlws.FILTER(INDIRECT(S$1&amp;"!$E1:$E10000"),INDIRECT(S$1&amp;"!$a1:$a10000")=汇总!$A118),COUNTIF(INDIRECT(S$1&amp;"!$a1:$a10000"),汇总!$A118)),S117)</f>
        <v/>
      </c>
      <c r="T118" s="563">
        <f t="array" ref="T118">IFERROR(INDEX(_xlfn._xlws.FILTER(INDIRECT(T$1&amp;"!$E1:$E10000"),INDIRECT(T$1&amp;"!$a1:$a10000")=汇总!$A118),COUNTIF(INDIRECT(T$1&amp;"!$a1:$a10000"),汇总!$A118)),T117)</f>
        <v/>
      </c>
    </row>
    <row r="119">
      <c r="A119" s="1">
        <f>+A118+1</f>
        <v/>
      </c>
      <c r="B119" s="563">
        <f t="array" ref="B119">IFERROR(INDEX(_xlfn._xlws.FILTER(INDIRECT(B$1&amp;"!$E1:$E10000"),INDIRECT(B$1&amp;"!$a1:$a10000")=汇总!$A119),COUNTIF(INDIRECT(B$1&amp;"!$a1:$a10000"),汇总!$A119)),B118)</f>
        <v/>
      </c>
      <c r="C119" s="563">
        <f t="array" ref="C119">IFERROR(INDEX(_xlfn._xlws.FILTER(INDIRECT(C$1&amp;"!$E1:$E10000"),INDIRECT(C$1&amp;"!$a1:$a10000")=汇总!$A119),COUNTIF(INDIRECT(C$1&amp;"!$a1:$a10000"),汇总!$A119)),C118)</f>
        <v/>
      </c>
      <c r="D119" s="563">
        <f t="array" ref="D119">IFERROR(INDEX(_xlfn._xlws.FILTER(INDIRECT(D$1&amp;"!$E1:$E10000"),INDIRECT(D$1&amp;"!$a1:$a10000")=汇总!$A119),COUNTIF(INDIRECT(D$1&amp;"!$a1:$a10000"),汇总!$A119)),D118)</f>
        <v/>
      </c>
      <c r="E119" s="563">
        <f t="array" ref="E119">IFERROR(INDEX(_xlfn._xlws.FILTER(INDIRECT(E$1&amp;"!$E1:$E10000"),INDIRECT(E$1&amp;"!$a1:$a10000")=汇总!$A119),COUNTIF(INDIRECT(E$1&amp;"!$a1:$a10000"),汇总!$A119)),E118)</f>
        <v/>
      </c>
      <c r="F119" s="563">
        <f t="array" ref="F119">IFERROR(INDEX(_xlfn._xlws.FILTER(INDIRECT(F$1&amp;"!$E1:$E10000"),INDIRECT(F$1&amp;"!$a1:$a10000")=汇总!$A119),COUNTIF(INDIRECT(F$1&amp;"!$a1:$a10000"),汇总!$A119)),F118)</f>
        <v/>
      </c>
      <c r="G119" s="563">
        <f t="array" ref="G119">IFERROR(INDEX(_xlfn._xlws.FILTER(INDIRECT(G$1&amp;"!$E1:$E10000"),INDIRECT(G$1&amp;"!$a1:$a10000")=汇总!$A119),COUNTIF(INDIRECT(G$1&amp;"!$a1:$a10000"),汇总!$A119)),G118)</f>
        <v/>
      </c>
      <c r="H119" s="563">
        <f t="array" ref="H119">IFERROR(INDEX(_xlfn._xlws.FILTER(INDIRECT(H$1&amp;"!$E1:$E10000"),INDIRECT(H$1&amp;"!$a1:$a10000")=汇总!$A119),COUNTIF(INDIRECT(H$1&amp;"!$a1:$a10000"),汇总!$A119)),H118)</f>
        <v/>
      </c>
      <c r="I119" s="563">
        <f t="array" ref="I119">IFERROR(INDEX(_xlfn._xlws.FILTER(INDIRECT(I$1&amp;"!$E1:$E10000"),INDIRECT(I$1&amp;"!$a1:$a10000")=汇总!$A119),COUNTIF(INDIRECT(I$1&amp;"!$a1:$a10000"),汇总!$A119)),I118)</f>
        <v/>
      </c>
      <c r="J119" s="563">
        <f t="array" ref="J119">IFERROR(INDEX(_xlfn._xlws.FILTER(INDIRECT(J$1&amp;"!$E1:$E10000"),INDIRECT(J$1&amp;"!$a1:$a10000")=汇总!$A119),COUNTIF(INDIRECT(J$1&amp;"!$a1:$a10000"),汇总!$A119)),J118)</f>
        <v/>
      </c>
      <c r="K119" s="563">
        <f t="array" ref="K119">IFERROR(INDEX(_xlfn._xlws.FILTER(INDIRECT(K$1&amp;"!$E1:$E10000"),INDIRECT(K$1&amp;"!$a1:$a10000")=汇总!$A119),COUNTIF(INDIRECT(K$1&amp;"!$a1:$a10000"),汇总!$A119)),K118)</f>
        <v/>
      </c>
      <c r="L119" s="563">
        <f t="array" ref="L119">IFERROR(INDEX(_xlfn._xlws.FILTER(INDIRECT(L$1&amp;"!$E1:$E10000"),INDIRECT(L$1&amp;"!$a1:$a10000")=汇总!$A119),COUNTIF(INDIRECT(L$1&amp;"!$a1:$a10000"),汇总!$A119)),L118)</f>
        <v/>
      </c>
      <c r="M119" s="563">
        <f t="array" ref="M119">IFERROR(INDEX(_xlfn._xlws.FILTER(INDIRECT(M$1&amp;"!$E1:$E10000"),INDIRECT(M$1&amp;"!$a1:$a10000")=汇总!$A119),COUNTIF(INDIRECT(M$1&amp;"!$a1:$a10000"),汇总!$A119)),M118)</f>
        <v/>
      </c>
      <c r="N119" s="563">
        <f t="array" ref="N119">IFERROR(INDEX(_xlfn._xlws.FILTER(INDIRECT(N$1&amp;"!$E1:$E10000"),INDIRECT(N$1&amp;"!$a1:$a10000")=汇总!$A119),COUNTIF(INDIRECT(N$1&amp;"!$a1:$a10000"),汇总!$A119)),N118)</f>
        <v/>
      </c>
      <c r="O119" s="563">
        <f t="array" ref="O119">IFERROR(INDEX(_xlfn._xlws.FILTER(INDIRECT(O$1&amp;"!$E1:$E10000"),INDIRECT(O$1&amp;"!$a1:$a10000")=汇总!$A119),COUNTIF(INDIRECT(O$1&amp;"!$a1:$a10000"),汇总!$A119)),O118)</f>
        <v/>
      </c>
      <c r="P119" s="563">
        <f t="array" ref="P119">IFERROR(INDEX(_xlfn._xlws.FILTER(INDIRECT(P$1&amp;"!$E1:$E10000"),INDIRECT(P$1&amp;"!$a1:$a10000")=汇总!$A119),COUNTIF(INDIRECT(P$1&amp;"!$a1:$a10000"),汇总!$A119)),P118)</f>
        <v/>
      </c>
      <c r="Q119" s="563">
        <f t="array" ref="Q119">IFERROR(INDEX(_xlfn._xlws.FILTER(INDIRECT(Q$1&amp;"!$E1:$E10000"),INDIRECT(Q$1&amp;"!$a1:$a10000")=汇总!$A119),COUNTIF(INDIRECT(Q$1&amp;"!$a1:$a10000"),汇总!$A119)),Q118)</f>
        <v/>
      </c>
      <c r="R119" s="563">
        <f t="array" ref="R119">IFERROR(INDEX(_xlfn._xlws.FILTER(INDIRECT(R$1&amp;"!$E1:$E10000"),INDIRECT(R$1&amp;"!$a1:$a10000")=汇总!$A119),COUNTIF(INDIRECT(R$1&amp;"!$a1:$a10000"),汇总!$A119)),R118)</f>
        <v/>
      </c>
      <c r="S119" s="563">
        <f t="array" ref="S119">IFERROR(INDEX(_xlfn._xlws.FILTER(INDIRECT(S$1&amp;"!$E1:$E10000"),INDIRECT(S$1&amp;"!$a1:$a10000")=汇总!$A119),COUNTIF(INDIRECT(S$1&amp;"!$a1:$a10000"),汇总!$A119)),S118)</f>
        <v/>
      </c>
      <c r="T119" s="563">
        <f t="array" ref="T119">IFERROR(INDEX(_xlfn._xlws.FILTER(INDIRECT(T$1&amp;"!$E1:$E10000"),INDIRECT(T$1&amp;"!$a1:$a10000")=汇总!$A119),COUNTIF(INDIRECT(T$1&amp;"!$a1:$a10000"),汇总!$A119)),T118)</f>
        <v/>
      </c>
    </row>
    <row r="120">
      <c r="A120" s="1">
        <f>+A119+1</f>
        <v/>
      </c>
      <c r="B120" s="563">
        <f t="array" ref="B120">IFERROR(INDEX(_xlfn._xlws.FILTER(INDIRECT(B$1&amp;"!$E1:$E10000"),INDIRECT(B$1&amp;"!$a1:$a10000")=汇总!$A120),COUNTIF(INDIRECT(B$1&amp;"!$a1:$a10000"),汇总!$A120)),B119)</f>
        <v/>
      </c>
      <c r="C120" s="563">
        <f t="array" ref="C120">IFERROR(INDEX(_xlfn._xlws.FILTER(INDIRECT(C$1&amp;"!$E1:$E10000"),INDIRECT(C$1&amp;"!$a1:$a10000")=汇总!$A120),COUNTIF(INDIRECT(C$1&amp;"!$a1:$a10000"),汇总!$A120)),C119)</f>
        <v/>
      </c>
      <c r="D120" s="563">
        <f t="array" ref="D120">IFERROR(INDEX(_xlfn._xlws.FILTER(INDIRECT(D$1&amp;"!$E1:$E10000"),INDIRECT(D$1&amp;"!$a1:$a10000")=汇总!$A120),COUNTIF(INDIRECT(D$1&amp;"!$a1:$a10000"),汇总!$A120)),D119)</f>
        <v/>
      </c>
      <c r="E120" s="563">
        <f t="array" ref="E120">IFERROR(INDEX(_xlfn._xlws.FILTER(INDIRECT(E$1&amp;"!$E1:$E10000"),INDIRECT(E$1&amp;"!$a1:$a10000")=汇总!$A120),COUNTIF(INDIRECT(E$1&amp;"!$a1:$a10000"),汇总!$A120)),E119)</f>
        <v/>
      </c>
      <c r="F120" s="563">
        <f t="array" ref="F120">IFERROR(INDEX(_xlfn._xlws.FILTER(INDIRECT(F$1&amp;"!$E1:$E10000"),INDIRECT(F$1&amp;"!$a1:$a10000")=汇总!$A120),COUNTIF(INDIRECT(F$1&amp;"!$a1:$a10000"),汇总!$A120)),F119)</f>
        <v/>
      </c>
      <c r="G120" s="563">
        <f t="array" ref="G120">IFERROR(INDEX(_xlfn._xlws.FILTER(INDIRECT(G$1&amp;"!$E1:$E10000"),INDIRECT(G$1&amp;"!$a1:$a10000")=汇总!$A120),COUNTIF(INDIRECT(G$1&amp;"!$a1:$a10000"),汇总!$A120)),G119)</f>
        <v/>
      </c>
      <c r="H120" s="563">
        <f t="array" ref="H120">IFERROR(INDEX(_xlfn._xlws.FILTER(INDIRECT(H$1&amp;"!$E1:$E10000"),INDIRECT(H$1&amp;"!$a1:$a10000")=汇总!$A120),COUNTIF(INDIRECT(H$1&amp;"!$a1:$a10000"),汇总!$A120)),H119)</f>
        <v/>
      </c>
      <c r="I120" s="563">
        <f t="array" ref="I120">IFERROR(INDEX(_xlfn._xlws.FILTER(INDIRECT(I$1&amp;"!$E1:$E10000"),INDIRECT(I$1&amp;"!$a1:$a10000")=汇总!$A120),COUNTIF(INDIRECT(I$1&amp;"!$a1:$a10000"),汇总!$A120)),I119)</f>
        <v/>
      </c>
      <c r="J120" s="563">
        <f t="array" ref="J120">IFERROR(INDEX(_xlfn._xlws.FILTER(INDIRECT(J$1&amp;"!$E1:$E10000"),INDIRECT(J$1&amp;"!$a1:$a10000")=汇总!$A120),COUNTIF(INDIRECT(J$1&amp;"!$a1:$a10000"),汇总!$A120)),J119)</f>
        <v/>
      </c>
      <c r="K120" s="563">
        <f t="array" ref="K120">IFERROR(INDEX(_xlfn._xlws.FILTER(INDIRECT(K$1&amp;"!$E1:$E10000"),INDIRECT(K$1&amp;"!$a1:$a10000")=汇总!$A120),COUNTIF(INDIRECT(K$1&amp;"!$a1:$a10000"),汇总!$A120)),K119)</f>
        <v/>
      </c>
      <c r="L120" s="563">
        <f t="array" ref="L120">IFERROR(INDEX(_xlfn._xlws.FILTER(INDIRECT(L$1&amp;"!$E1:$E10000"),INDIRECT(L$1&amp;"!$a1:$a10000")=汇总!$A120),COUNTIF(INDIRECT(L$1&amp;"!$a1:$a10000"),汇总!$A120)),L119)</f>
        <v/>
      </c>
      <c r="M120" s="563">
        <f t="array" ref="M120">IFERROR(INDEX(_xlfn._xlws.FILTER(INDIRECT(M$1&amp;"!$E1:$E10000"),INDIRECT(M$1&amp;"!$a1:$a10000")=汇总!$A120),COUNTIF(INDIRECT(M$1&amp;"!$a1:$a10000"),汇总!$A120)),M119)</f>
        <v/>
      </c>
      <c r="N120" s="563">
        <f t="array" ref="N120">IFERROR(INDEX(_xlfn._xlws.FILTER(INDIRECT(N$1&amp;"!$E1:$E10000"),INDIRECT(N$1&amp;"!$a1:$a10000")=汇总!$A120),COUNTIF(INDIRECT(N$1&amp;"!$a1:$a10000"),汇总!$A120)),N119)</f>
        <v/>
      </c>
      <c r="O120" s="563">
        <f t="array" ref="O120">IFERROR(INDEX(_xlfn._xlws.FILTER(INDIRECT(O$1&amp;"!$E1:$E10000"),INDIRECT(O$1&amp;"!$a1:$a10000")=汇总!$A120),COUNTIF(INDIRECT(O$1&amp;"!$a1:$a10000"),汇总!$A120)),O119)</f>
        <v/>
      </c>
      <c r="P120" s="563">
        <f t="array" ref="P120">IFERROR(INDEX(_xlfn._xlws.FILTER(INDIRECT(P$1&amp;"!$E1:$E10000"),INDIRECT(P$1&amp;"!$a1:$a10000")=汇总!$A120),COUNTIF(INDIRECT(P$1&amp;"!$a1:$a10000"),汇总!$A120)),P119)</f>
        <v/>
      </c>
      <c r="Q120" s="563">
        <f t="array" ref="Q120">IFERROR(INDEX(_xlfn._xlws.FILTER(INDIRECT(Q$1&amp;"!$E1:$E10000"),INDIRECT(Q$1&amp;"!$a1:$a10000")=汇总!$A120),COUNTIF(INDIRECT(Q$1&amp;"!$a1:$a10000"),汇总!$A120)),Q119)</f>
        <v/>
      </c>
      <c r="R120" s="563">
        <f t="array" ref="R120">IFERROR(INDEX(_xlfn._xlws.FILTER(INDIRECT(R$1&amp;"!$E1:$E10000"),INDIRECT(R$1&amp;"!$a1:$a10000")=汇总!$A120),COUNTIF(INDIRECT(R$1&amp;"!$a1:$a10000"),汇总!$A120)),R119)</f>
        <v/>
      </c>
      <c r="S120" s="563">
        <f t="array" ref="S120">IFERROR(INDEX(_xlfn._xlws.FILTER(INDIRECT(S$1&amp;"!$E1:$E10000"),INDIRECT(S$1&amp;"!$a1:$a10000")=汇总!$A120),COUNTIF(INDIRECT(S$1&amp;"!$a1:$a10000"),汇总!$A120)),S119)</f>
        <v/>
      </c>
      <c r="T120" s="563">
        <f t="array" ref="T120">IFERROR(INDEX(_xlfn._xlws.FILTER(INDIRECT(T$1&amp;"!$E1:$E10000"),INDIRECT(T$1&amp;"!$a1:$a10000")=汇总!$A120),COUNTIF(INDIRECT(T$1&amp;"!$a1:$a10000"),汇总!$A120)),T119)</f>
        <v/>
      </c>
    </row>
    <row r="121">
      <c r="A121" s="1">
        <f>+A120+1</f>
        <v/>
      </c>
      <c r="B121" s="563">
        <f t="array" ref="B121">IFERROR(INDEX(_xlfn._xlws.FILTER(INDIRECT(B$1&amp;"!$E1:$E10000"),INDIRECT(B$1&amp;"!$a1:$a10000")=汇总!$A121),COUNTIF(INDIRECT(B$1&amp;"!$a1:$a10000"),汇总!$A121)),B120)</f>
        <v/>
      </c>
      <c r="C121" s="563">
        <f t="array" ref="C121">IFERROR(INDEX(_xlfn._xlws.FILTER(INDIRECT(C$1&amp;"!$E1:$E10000"),INDIRECT(C$1&amp;"!$a1:$a10000")=汇总!$A121),COUNTIF(INDIRECT(C$1&amp;"!$a1:$a10000"),汇总!$A121)),C120)</f>
        <v/>
      </c>
      <c r="D121" s="563">
        <f t="array" ref="D121">IFERROR(INDEX(_xlfn._xlws.FILTER(INDIRECT(D$1&amp;"!$E1:$E10000"),INDIRECT(D$1&amp;"!$a1:$a10000")=汇总!$A121),COUNTIF(INDIRECT(D$1&amp;"!$a1:$a10000"),汇总!$A121)),D120)</f>
        <v/>
      </c>
      <c r="E121" s="563">
        <f t="array" ref="E121">IFERROR(INDEX(_xlfn._xlws.FILTER(INDIRECT(E$1&amp;"!$E1:$E10000"),INDIRECT(E$1&amp;"!$a1:$a10000")=汇总!$A121),COUNTIF(INDIRECT(E$1&amp;"!$a1:$a10000"),汇总!$A121)),E120)</f>
        <v/>
      </c>
      <c r="F121" s="563">
        <f t="array" ref="F121">IFERROR(INDEX(_xlfn._xlws.FILTER(INDIRECT(F$1&amp;"!$E1:$E10000"),INDIRECT(F$1&amp;"!$a1:$a10000")=汇总!$A121),COUNTIF(INDIRECT(F$1&amp;"!$a1:$a10000"),汇总!$A121)),F120)</f>
        <v/>
      </c>
      <c r="G121" s="563">
        <f t="array" ref="G121">IFERROR(INDEX(_xlfn._xlws.FILTER(INDIRECT(G$1&amp;"!$E1:$E10000"),INDIRECT(G$1&amp;"!$a1:$a10000")=汇总!$A121),COUNTIF(INDIRECT(G$1&amp;"!$a1:$a10000"),汇总!$A121)),G120)</f>
        <v/>
      </c>
      <c r="H121" s="563">
        <f t="array" ref="H121">IFERROR(INDEX(_xlfn._xlws.FILTER(INDIRECT(H$1&amp;"!$E1:$E10000"),INDIRECT(H$1&amp;"!$a1:$a10000")=汇总!$A121),COUNTIF(INDIRECT(H$1&amp;"!$a1:$a10000"),汇总!$A121)),H120)</f>
        <v/>
      </c>
      <c r="I121" s="563">
        <f t="array" ref="I121">IFERROR(INDEX(_xlfn._xlws.FILTER(INDIRECT(I$1&amp;"!$E1:$E10000"),INDIRECT(I$1&amp;"!$a1:$a10000")=汇总!$A121),COUNTIF(INDIRECT(I$1&amp;"!$a1:$a10000"),汇总!$A121)),I120)</f>
        <v/>
      </c>
      <c r="J121" s="563">
        <f t="array" ref="J121">IFERROR(INDEX(_xlfn._xlws.FILTER(INDIRECT(J$1&amp;"!$E1:$E10000"),INDIRECT(J$1&amp;"!$a1:$a10000")=汇总!$A121),COUNTIF(INDIRECT(J$1&amp;"!$a1:$a10000"),汇总!$A121)),J120)</f>
        <v/>
      </c>
      <c r="K121" s="563">
        <f t="array" ref="K121">IFERROR(INDEX(_xlfn._xlws.FILTER(INDIRECT(K$1&amp;"!$E1:$E10000"),INDIRECT(K$1&amp;"!$a1:$a10000")=汇总!$A121),COUNTIF(INDIRECT(K$1&amp;"!$a1:$a10000"),汇总!$A121)),K120)</f>
        <v/>
      </c>
      <c r="L121" s="563">
        <f t="array" ref="L121">IFERROR(INDEX(_xlfn._xlws.FILTER(INDIRECT(L$1&amp;"!$E1:$E10000"),INDIRECT(L$1&amp;"!$a1:$a10000")=汇总!$A121),COUNTIF(INDIRECT(L$1&amp;"!$a1:$a10000"),汇总!$A121)),L120)</f>
        <v/>
      </c>
      <c r="M121" s="563">
        <f t="array" ref="M121">IFERROR(INDEX(_xlfn._xlws.FILTER(INDIRECT(M$1&amp;"!$E1:$E10000"),INDIRECT(M$1&amp;"!$a1:$a10000")=汇总!$A121),COUNTIF(INDIRECT(M$1&amp;"!$a1:$a10000"),汇总!$A121)),M120)</f>
        <v/>
      </c>
      <c r="N121" s="563">
        <f t="array" ref="N121">IFERROR(INDEX(_xlfn._xlws.FILTER(INDIRECT(N$1&amp;"!$E1:$E10000"),INDIRECT(N$1&amp;"!$a1:$a10000")=汇总!$A121),COUNTIF(INDIRECT(N$1&amp;"!$a1:$a10000"),汇总!$A121)),N120)</f>
        <v/>
      </c>
      <c r="O121" s="563">
        <f t="array" ref="O121">IFERROR(INDEX(_xlfn._xlws.FILTER(INDIRECT(O$1&amp;"!$E1:$E10000"),INDIRECT(O$1&amp;"!$a1:$a10000")=汇总!$A121),COUNTIF(INDIRECT(O$1&amp;"!$a1:$a10000"),汇总!$A121)),O120)</f>
        <v/>
      </c>
      <c r="P121" s="563">
        <f t="array" ref="P121">IFERROR(INDEX(_xlfn._xlws.FILTER(INDIRECT(P$1&amp;"!$E1:$E10000"),INDIRECT(P$1&amp;"!$a1:$a10000")=汇总!$A121),COUNTIF(INDIRECT(P$1&amp;"!$a1:$a10000"),汇总!$A121)),P120)</f>
        <v/>
      </c>
      <c r="Q121" s="563">
        <f t="array" ref="Q121">IFERROR(INDEX(_xlfn._xlws.FILTER(INDIRECT(Q$1&amp;"!$E1:$E10000"),INDIRECT(Q$1&amp;"!$a1:$a10000")=汇总!$A121),COUNTIF(INDIRECT(Q$1&amp;"!$a1:$a10000"),汇总!$A121)),Q120)</f>
        <v/>
      </c>
      <c r="R121" s="563">
        <f t="array" ref="R121">IFERROR(INDEX(_xlfn._xlws.FILTER(INDIRECT(R$1&amp;"!$E1:$E10000"),INDIRECT(R$1&amp;"!$a1:$a10000")=汇总!$A121),COUNTIF(INDIRECT(R$1&amp;"!$a1:$a10000"),汇总!$A121)),R120)</f>
        <v/>
      </c>
      <c r="S121" s="563">
        <f t="array" ref="S121">IFERROR(INDEX(_xlfn._xlws.FILTER(INDIRECT(S$1&amp;"!$E1:$E10000"),INDIRECT(S$1&amp;"!$a1:$a10000")=汇总!$A121),COUNTIF(INDIRECT(S$1&amp;"!$a1:$a10000"),汇总!$A121)),S120)</f>
        <v/>
      </c>
      <c r="T121" s="563">
        <f t="array" ref="T121">IFERROR(INDEX(_xlfn._xlws.FILTER(INDIRECT(T$1&amp;"!$E1:$E10000"),INDIRECT(T$1&amp;"!$a1:$a10000")=汇总!$A121),COUNTIF(INDIRECT(T$1&amp;"!$a1:$a10000"),汇总!$A121)),T120)</f>
        <v/>
      </c>
    </row>
    <row r="122">
      <c r="A122" s="1">
        <f>+A121+1</f>
        <v/>
      </c>
      <c r="B122" s="563">
        <f t="array" ref="B122">IFERROR(INDEX(_xlfn._xlws.FILTER(INDIRECT(B$1&amp;"!$E1:$E10000"),INDIRECT(B$1&amp;"!$a1:$a10000")=汇总!$A122),COUNTIF(INDIRECT(B$1&amp;"!$a1:$a10000"),汇总!$A122)),B121)</f>
        <v/>
      </c>
      <c r="C122" s="563">
        <f t="array" ref="C122">IFERROR(INDEX(_xlfn._xlws.FILTER(INDIRECT(C$1&amp;"!$E1:$E10000"),INDIRECT(C$1&amp;"!$a1:$a10000")=汇总!$A122),COUNTIF(INDIRECT(C$1&amp;"!$a1:$a10000"),汇总!$A122)),C121)</f>
        <v/>
      </c>
      <c r="D122" s="563">
        <f t="array" ref="D122">IFERROR(INDEX(_xlfn._xlws.FILTER(INDIRECT(D$1&amp;"!$E1:$E10000"),INDIRECT(D$1&amp;"!$a1:$a10000")=汇总!$A122),COUNTIF(INDIRECT(D$1&amp;"!$a1:$a10000"),汇总!$A122)),D121)</f>
        <v/>
      </c>
      <c r="E122" s="563">
        <f t="array" ref="E122">IFERROR(INDEX(_xlfn._xlws.FILTER(INDIRECT(E$1&amp;"!$E1:$E10000"),INDIRECT(E$1&amp;"!$a1:$a10000")=汇总!$A122),COUNTIF(INDIRECT(E$1&amp;"!$a1:$a10000"),汇总!$A122)),E121)</f>
        <v/>
      </c>
      <c r="F122" s="563">
        <f t="array" ref="F122">IFERROR(INDEX(_xlfn._xlws.FILTER(INDIRECT(F$1&amp;"!$E1:$E10000"),INDIRECT(F$1&amp;"!$a1:$a10000")=汇总!$A122),COUNTIF(INDIRECT(F$1&amp;"!$a1:$a10000"),汇总!$A122)),F121)</f>
        <v/>
      </c>
      <c r="G122" s="563">
        <f t="array" ref="G122">IFERROR(INDEX(_xlfn._xlws.FILTER(INDIRECT(G$1&amp;"!$E1:$E10000"),INDIRECT(G$1&amp;"!$a1:$a10000")=汇总!$A122),COUNTIF(INDIRECT(G$1&amp;"!$a1:$a10000"),汇总!$A122)),G121)</f>
        <v/>
      </c>
      <c r="H122" s="563">
        <f t="array" ref="H122">IFERROR(INDEX(_xlfn._xlws.FILTER(INDIRECT(H$1&amp;"!$E1:$E10000"),INDIRECT(H$1&amp;"!$a1:$a10000")=汇总!$A122),COUNTIF(INDIRECT(H$1&amp;"!$a1:$a10000"),汇总!$A122)),H121)</f>
        <v/>
      </c>
      <c r="I122" s="563">
        <f t="array" ref="I122">IFERROR(INDEX(_xlfn._xlws.FILTER(INDIRECT(I$1&amp;"!$E1:$E10000"),INDIRECT(I$1&amp;"!$a1:$a10000")=汇总!$A122),COUNTIF(INDIRECT(I$1&amp;"!$a1:$a10000"),汇总!$A122)),I121)</f>
        <v/>
      </c>
      <c r="J122" s="563">
        <f t="array" ref="J122">IFERROR(INDEX(_xlfn._xlws.FILTER(INDIRECT(J$1&amp;"!$E1:$E10000"),INDIRECT(J$1&amp;"!$a1:$a10000")=汇总!$A122),COUNTIF(INDIRECT(J$1&amp;"!$a1:$a10000"),汇总!$A122)),J121)</f>
        <v/>
      </c>
      <c r="K122" s="563">
        <f t="array" ref="K122">IFERROR(INDEX(_xlfn._xlws.FILTER(INDIRECT(K$1&amp;"!$E1:$E10000"),INDIRECT(K$1&amp;"!$a1:$a10000")=汇总!$A122),COUNTIF(INDIRECT(K$1&amp;"!$a1:$a10000"),汇总!$A122)),K121)</f>
        <v/>
      </c>
      <c r="L122" s="563">
        <f t="array" ref="L122">IFERROR(INDEX(_xlfn._xlws.FILTER(INDIRECT(L$1&amp;"!$E1:$E10000"),INDIRECT(L$1&amp;"!$a1:$a10000")=汇总!$A122),COUNTIF(INDIRECT(L$1&amp;"!$a1:$a10000"),汇总!$A122)),L121)</f>
        <v/>
      </c>
      <c r="M122" s="563">
        <f t="array" ref="M122">IFERROR(INDEX(_xlfn._xlws.FILTER(INDIRECT(M$1&amp;"!$E1:$E10000"),INDIRECT(M$1&amp;"!$a1:$a10000")=汇总!$A122),COUNTIF(INDIRECT(M$1&amp;"!$a1:$a10000"),汇总!$A122)),M121)</f>
        <v/>
      </c>
      <c r="N122" s="563">
        <f t="array" ref="N122">IFERROR(INDEX(_xlfn._xlws.FILTER(INDIRECT(N$1&amp;"!$E1:$E10000"),INDIRECT(N$1&amp;"!$a1:$a10000")=汇总!$A122),COUNTIF(INDIRECT(N$1&amp;"!$a1:$a10000"),汇总!$A122)),N121)</f>
        <v/>
      </c>
      <c r="O122" s="563">
        <f t="array" ref="O122">IFERROR(INDEX(_xlfn._xlws.FILTER(INDIRECT(O$1&amp;"!$E1:$E10000"),INDIRECT(O$1&amp;"!$a1:$a10000")=汇总!$A122),COUNTIF(INDIRECT(O$1&amp;"!$a1:$a10000"),汇总!$A122)),O121)</f>
        <v/>
      </c>
      <c r="P122" s="563">
        <f t="array" ref="P122">IFERROR(INDEX(_xlfn._xlws.FILTER(INDIRECT(P$1&amp;"!$E1:$E10000"),INDIRECT(P$1&amp;"!$a1:$a10000")=汇总!$A122),COUNTIF(INDIRECT(P$1&amp;"!$a1:$a10000"),汇总!$A122)),P121)</f>
        <v/>
      </c>
      <c r="Q122" s="563">
        <f t="array" ref="Q122">IFERROR(INDEX(_xlfn._xlws.FILTER(INDIRECT(Q$1&amp;"!$E1:$E10000"),INDIRECT(Q$1&amp;"!$a1:$a10000")=汇总!$A122),COUNTIF(INDIRECT(Q$1&amp;"!$a1:$a10000"),汇总!$A122)),Q121)</f>
        <v/>
      </c>
      <c r="R122" s="563">
        <f t="array" ref="R122">IFERROR(INDEX(_xlfn._xlws.FILTER(INDIRECT(R$1&amp;"!$E1:$E10000"),INDIRECT(R$1&amp;"!$a1:$a10000")=汇总!$A122),COUNTIF(INDIRECT(R$1&amp;"!$a1:$a10000"),汇总!$A122)),R121)</f>
        <v/>
      </c>
      <c r="S122" s="563">
        <f t="array" ref="S122">IFERROR(INDEX(_xlfn._xlws.FILTER(INDIRECT(S$1&amp;"!$E1:$E10000"),INDIRECT(S$1&amp;"!$a1:$a10000")=汇总!$A122),COUNTIF(INDIRECT(S$1&amp;"!$a1:$a10000"),汇总!$A122)),S121)</f>
        <v/>
      </c>
      <c r="T122" s="563">
        <f t="array" ref="T122">IFERROR(INDEX(_xlfn._xlws.FILTER(INDIRECT(T$1&amp;"!$E1:$E10000"),INDIRECT(T$1&amp;"!$a1:$a10000")=汇总!$A122),COUNTIF(INDIRECT(T$1&amp;"!$a1:$a10000"),汇总!$A122)),T121)</f>
        <v/>
      </c>
    </row>
    <row r="123">
      <c r="A123" s="1">
        <f>+A122+1</f>
        <v/>
      </c>
      <c r="B123" s="563">
        <f t="array" ref="B123">IFERROR(INDEX(_xlfn._xlws.FILTER(INDIRECT(B$1&amp;"!$E1:$E10000"),INDIRECT(B$1&amp;"!$a1:$a10000")=汇总!$A123),COUNTIF(INDIRECT(B$1&amp;"!$a1:$a10000"),汇总!$A123)),B122)</f>
        <v/>
      </c>
      <c r="C123" s="563">
        <f t="array" ref="C123">IFERROR(INDEX(_xlfn._xlws.FILTER(INDIRECT(C$1&amp;"!$E1:$E10000"),INDIRECT(C$1&amp;"!$a1:$a10000")=汇总!$A123),COUNTIF(INDIRECT(C$1&amp;"!$a1:$a10000"),汇总!$A123)),C122)</f>
        <v/>
      </c>
      <c r="D123" s="563">
        <f t="array" ref="D123">IFERROR(INDEX(_xlfn._xlws.FILTER(INDIRECT(D$1&amp;"!$E1:$E10000"),INDIRECT(D$1&amp;"!$a1:$a10000")=汇总!$A123),COUNTIF(INDIRECT(D$1&amp;"!$a1:$a10000"),汇总!$A123)),D122)</f>
        <v/>
      </c>
      <c r="E123" s="563">
        <f t="array" ref="E123">IFERROR(INDEX(_xlfn._xlws.FILTER(INDIRECT(E$1&amp;"!$E1:$E10000"),INDIRECT(E$1&amp;"!$a1:$a10000")=汇总!$A123),COUNTIF(INDIRECT(E$1&amp;"!$a1:$a10000"),汇总!$A123)),E122)</f>
        <v/>
      </c>
      <c r="F123" s="563">
        <f t="array" ref="F123">IFERROR(INDEX(_xlfn._xlws.FILTER(INDIRECT(F$1&amp;"!$E1:$E10000"),INDIRECT(F$1&amp;"!$a1:$a10000")=汇总!$A123),COUNTIF(INDIRECT(F$1&amp;"!$a1:$a10000"),汇总!$A123)),F122)</f>
        <v/>
      </c>
      <c r="G123" s="563">
        <f t="array" ref="G123">IFERROR(INDEX(_xlfn._xlws.FILTER(INDIRECT(G$1&amp;"!$E1:$E10000"),INDIRECT(G$1&amp;"!$a1:$a10000")=汇总!$A123),COUNTIF(INDIRECT(G$1&amp;"!$a1:$a10000"),汇总!$A123)),G122)</f>
        <v/>
      </c>
      <c r="H123" s="563">
        <f t="array" ref="H123">IFERROR(INDEX(_xlfn._xlws.FILTER(INDIRECT(H$1&amp;"!$E1:$E10000"),INDIRECT(H$1&amp;"!$a1:$a10000")=汇总!$A123),COUNTIF(INDIRECT(H$1&amp;"!$a1:$a10000"),汇总!$A123)),H122)</f>
        <v/>
      </c>
      <c r="I123" s="563">
        <f t="array" ref="I123">IFERROR(INDEX(_xlfn._xlws.FILTER(INDIRECT(I$1&amp;"!$E1:$E10000"),INDIRECT(I$1&amp;"!$a1:$a10000")=汇总!$A123),COUNTIF(INDIRECT(I$1&amp;"!$a1:$a10000"),汇总!$A123)),I122)</f>
        <v/>
      </c>
      <c r="J123" s="563">
        <f t="array" ref="J123">IFERROR(INDEX(_xlfn._xlws.FILTER(INDIRECT(J$1&amp;"!$E1:$E10000"),INDIRECT(J$1&amp;"!$a1:$a10000")=汇总!$A123),COUNTIF(INDIRECT(J$1&amp;"!$a1:$a10000"),汇总!$A123)),J122)</f>
        <v/>
      </c>
      <c r="K123" s="563">
        <f t="array" ref="K123">IFERROR(INDEX(_xlfn._xlws.FILTER(INDIRECT(K$1&amp;"!$E1:$E10000"),INDIRECT(K$1&amp;"!$a1:$a10000")=汇总!$A123),COUNTIF(INDIRECT(K$1&amp;"!$a1:$a10000"),汇总!$A123)),K122)</f>
        <v/>
      </c>
      <c r="L123" s="563">
        <f t="array" ref="L123">IFERROR(INDEX(_xlfn._xlws.FILTER(INDIRECT(L$1&amp;"!$E1:$E10000"),INDIRECT(L$1&amp;"!$a1:$a10000")=汇总!$A123),COUNTIF(INDIRECT(L$1&amp;"!$a1:$a10000"),汇总!$A123)),L122)</f>
        <v/>
      </c>
      <c r="M123" s="563">
        <f t="array" ref="M123">IFERROR(INDEX(_xlfn._xlws.FILTER(INDIRECT(M$1&amp;"!$E1:$E10000"),INDIRECT(M$1&amp;"!$a1:$a10000")=汇总!$A123),COUNTIF(INDIRECT(M$1&amp;"!$a1:$a10000"),汇总!$A123)),M122)</f>
        <v/>
      </c>
      <c r="N123" s="563">
        <f t="array" ref="N123">IFERROR(INDEX(_xlfn._xlws.FILTER(INDIRECT(N$1&amp;"!$E1:$E10000"),INDIRECT(N$1&amp;"!$a1:$a10000")=汇总!$A123),COUNTIF(INDIRECT(N$1&amp;"!$a1:$a10000"),汇总!$A123)),N122)</f>
        <v/>
      </c>
      <c r="O123" s="563">
        <f t="array" ref="O123">IFERROR(INDEX(_xlfn._xlws.FILTER(INDIRECT(O$1&amp;"!$E1:$E10000"),INDIRECT(O$1&amp;"!$a1:$a10000")=汇总!$A123),COUNTIF(INDIRECT(O$1&amp;"!$a1:$a10000"),汇总!$A123)),O122)</f>
        <v/>
      </c>
      <c r="P123" s="563">
        <f t="array" ref="P123">IFERROR(INDEX(_xlfn._xlws.FILTER(INDIRECT(P$1&amp;"!$E1:$E10000"),INDIRECT(P$1&amp;"!$a1:$a10000")=汇总!$A123),COUNTIF(INDIRECT(P$1&amp;"!$a1:$a10000"),汇总!$A123)),P122)</f>
        <v/>
      </c>
      <c r="Q123" s="563">
        <f t="array" ref="Q123">IFERROR(INDEX(_xlfn._xlws.FILTER(INDIRECT(Q$1&amp;"!$E1:$E10000"),INDIRECT(Q$1&amp;"!$a1:$a10000")=汇总!$A123),COUNTIF(INDIRECT(Q$1&amp;"!$a1:$a10000"),汇总!$A123)),Q122)</f>
        <v/>
      </c>
      <c r="R123" s="563">
        <f t="array" ref="R123">IFERROR(INDEX(_xlfn._xlws.FILTER(INDIRECT(R$1&amp;"!$E1:$E10000"),INDIRECT(R$1&amp;"!$a1:$a10000")=汇总!$A123),COUNTIF(INDIRECT(R$1&amp;"!$a1:$a10000"),汇总!$A123)),R122)</f>
        <v/>
      </c>
      <c r="S123" s="563">
        <f t="array" ref="S123">IFERROR(INDEX(_xlfn._xlws.FILTER(INDIRECT(S$1&amp;"!$E1:$E10000"),INDIRECT(S$1&amp;"!$a1:$a10000")=汇总!$A123),COUNTIF(INDIRECT(S$1&amp;"!$a1:$a10000"),汇总!$A123)),S122)</f>
        <v/>
      </c>
      <c r="T123" s="563">
        <f t="array" ref="T123">IFERROR(INDEX(_xlfn._xlws.FILTER(INDIRECT(T$1&amp;"!$E1:$E10000"),INDIRECT(T$1&amp;"!$a1:$a10000")=汇总!$A123),COUNTIF(INDIRECT(T$1&amp;"!$a1:$a10000"),汇总!$A123)),T122)</f>
        <v/>
      </c>
    </row>
    <row r="124">
      <c r="A124" s="1">
        <f>+A123+1</f>
        <v/>
      </c>
      <c r="B124" s="563">
        <f t="array" ref="B124">IFERROR(INDEX(_xlfn._xlws.FILTER(INDIRECT(B$1&amp;"!$E1:$E10000"),INDIRECT(B$1&amp;"!$a1:$a10000")=汇总!$A124),COUNTIF(INDIRECT(B$1&amp;"!$a1:$a10000"),汇总!$A124)),B123)</f>
        <v/>
      </c>
      <c r="C124" s="563">
        <f t="array" ref="C124">IFERROR(INDEX(_xlfn._xlws.FILTER(INDIRECT(C$1&amp;"!$E1:$E10000"),INDIRECT(C$1&amp;"!$a1:$a10000")=汇总!$A124),COUNTIF(INDIRECT(C$1&amp;"!$a1:$a10000"),汇总!$A124)),C123)</f>
        <v/>
      </c>
      <c r="D124" s="563">
        <f t="array" ref="D124">IFERROR(INDEX(_xlfn._xlws.FILTER(INDIRECT(D$1&amp;"!$E1:$E10000"),INDIRECT(D$1&amp;"!$a1:$a10000")=汇总!$A124),COUNTIF(INDIRECT(D$1&amp;"!$a1:$a10000"),汇总!$A124)),D123)</f>
        <v/>
      </c>
      <c r="E124" s="563">
        <f t="array" ref="E124">IFERROR(INDEX(_xlfn._xlws.FILTER(INDIRECT(E$1&amp;"!$E1:$E10000"),INDIRECT(E$1&amp;"!$a1:$a10000")=汇总!$A124),COUNTIF(INDIRECT(E$1&amp;"!$a1:$a10000"),汇总!$A124)),E123)</f>
        <v/>
      </c>
      <c r="F124" s="563">
        <f t="array" ref="F124">IFERROR(INDEX(_xlfn._xlws.FILTER(INDIRECT(F$1&amp;"!$E1:$E10000"),INDIRECT(F$1&amp;"!$a1:$a10000")=汇总!$A124),COUNTIF(INDIRECT(F$1&amp;"!$a1:$a10000"),汇总!$A124)),F123)</f>
        <v/>
      </c>
      <c r="G124" s="563">
        <f t="array" ref="G124">IFERROR(INDEX(_xlfn._xlws.FILTER(INDIRECT(G$1&amp;"!$E1:$E10000"),INDIRECT(G$1&amp;"!$a1:$a10000")=汇总!$A124),COUNTIF(INDIRECT(G$1&amp;"!$a1:$a10000"),汇总!$A124)),G123)</f>
        <v/>
      </c>
      <c r="H124" s="563">
        <f t="array" ref="H124">IFERROR(INDEX(_xlfn._xlws.FILTER(INDIRECT(H$1&amp;"!$E1:$E10000"),INDIRECT(H$1&amp;"!$a1:$a10000")=汇总!$A124),COUNTIF(INDIRECT(H$1&amp;"!$a1:$a10000"),汇总!$A124)),H123)</f>
        <v/>
      </c>
      <c r="I124" s="563">
        <f t="array" ref="I124">IFERROR(INDEX(_xlfn._xlws.FILTER(INDIRECT(I$1&amp;"!$E1:$E10000"),INDIRECT(I$1&amp;"!$a1:$a10000")=汇总!$A124),COUNTIF(INDIRECT(I$1&amp;"!$a1:$a10000"),汇总!$A124)),I123)</f>
        <v/>
      </c>
      <c r="J124" s="563">
        <f t="array" ref="J124">IFERROR(INDEX(_xlfn._xlws.FILTER(INDIRECT(J$1&amp;"!$E1:$E10000"),INDIRECT(J$1&amp;"!$a1:$a10000")=汇总!$A124),COUNTIF(INDIRECT(J$1&amp;"!$a1:$a10000"),汇总!$A124)),J123)</f>
        <v/>
      </c>
      <c r="K124" s="563">
        <f t="array" ref="K124">IFERROR(INDEX(_xlfn._xlws.FILTER(INDIRECT(K$1&amp;"!$E1:$E10000"),INDIRECT(K$1&amp;"!$a1:$a10000")=汇总!$A124),COUNTIF(INDIRECT(K$1&amp;"!$a1:$a10000"),汇总!$A124)),K123)</f>
        <v/>
      </c>
      <c r="L124" s="563">
        <f t="array" ref="L124">IFERROR(INDEX(_xlfn._xlws.FILTER(INDIRECT(L$1&amp;"!$E1:$E10000"),INDIRECT(L$1&amp;"!$a1:$a10000")=汇总!$A124),COUNTIF(INDIRECT(L$1&amp;"!$a1:$a10000"),汇总!$A124)),L123)</f>
        <v/>
      </c>
      <c r="M124" s="563">
        <f t="array" ref="M124">IFERROR(INDEX(_xlfn._xlws.FILTER(INDIRECT(M$1&amp;"!$E1:$E10000"),INDIRECT(M$1&amp;"!$a1:$a10000")=汇总!$A124),COUNTIF(INDIRECT(M$1&amp;"!$a1:$a10000"),汇总!$A124)),M123)</f>
        <v/>
      </c>
      <c r="N124" s="563">
        <f t="array" ref="N124">IFERROR(INDEX(_xlfn._xlws.FILTER(INDIRECT(N$1&amp;"!$E1:$E10000"),INDIRECT(N$1&amp;"!$a1:$a10000")=汇总!$A124),COUNTIF(INDIRECT(N$1&amp;"!$a1:$a10000"),汇总!$A124)),N123)</f>
        <v/>
      </c>
      <c r="O124" s="563">
        <f t="array" ref="O124">IFERROR(INDEX(_xlfn._xlws.FILTER(INDIRECT(O$1&amp;"!$E1:$E10000"),INDIRECT(O$1&amp;"!$a1:$a10000")=汇总!$A124),COUNTIF(INDIRECT(O$1&amp;"!$a1:$a10000"),汇总!$A124)),O123)</f>
        <v/>
      </c>
      <c r="P124" s="563">
        <f t="array" ref="P124">IFERROR(INDEX(_xlfn._xlws.FILTER(INDIRECT(P$1&amp;"!$E1:$E10000"),INDIRECT(P$1&amp;"!$a1:$a10000")=汇总!$A124),COUNTIF(INDIRECT(P$1&amp;"!$a1:$a10000"),汇总!$A124)),P123)</f>
        <v/>
      </c>
      <c r="Q124" s="563">
        <f t="array" ref="Q124">IFERROR(INDEX(_xlfn._xlws.FILTER(INDIRECT(Q$1&amp;"!$E1:$E10000"),INDIRECT(Q$1&amp;"!$a1:$a10000")=汇总!$A124),COUNTIF(INDIRECT(Q$1&amp;"!$a1:$a10000"),汇总!$A124)),Q123)</f>
        <v/>
      </c>
      <c r="R124" s="563">
        <f t="array" ref="R124">IFERROR(INDEX(_xlfn._xlws.FILTER(INDIRECT(R$1&amp;"!$E1:$E10000"),INDIRECT(R$1&amp;"!$a1:$a10000")=汇总!$A124),COUNTIF(INDIRECT(R$1&amp;"!$a1:$a10000"),汇总!$A124)),R123)</f>
        <v/>
      </c>
      <c r="S124" s="563">
        <f t="array" ref="S124">IFERROR(INDEX(_xlfn._xlws.FILTER(INDIRECT(S$1&amp;"!$E1:$E10000"),INDIRECT(S$1&amp;"!$a1:$a10000")=汇总!$A124),COUNTIF(INDIRECT(S$1&amp;"!$a1:$a10000"),汇总!$A124)),S123)</f>
        <v/>
      </c>
      <c r="T124" s="563">
        <f t="array" ref="T124">IFERROR(INDEX(_xlfn._xlws.FILTER(INDIRECT(T$1&amp;"!$E1:$E10000"),INDIRECT(T$1&amp;"!$a1:$a10000")=汇总!$A124),COUNTIF(INDIRECT(T$1&amp;"!$a1:$a10000"),汇总!$A124)),T123)</f>
        <v/>
      </c>
    </row>
    <row r="125">
      <c r="A125" s="1">
        <f>+A124+1</f>
        <v/>
      </c>
      <c r="B125" s="563">
        <f t="array" ref="B125">IFERROR(INDEX(_xlfn._xlws.FILTER(INDIRECT(B$1&amp;"!$E1:$E10000"),INDIRECT(B$1&amp;"!$a1:$a10000")=汇总!$A125),COUNTIF(INDIRECT(B$1&amp;"!$a1:$a10000"),汇总!$A125)),B124)</f>
        <v/>
      </c>
      <c r="C125" s="563">
        <f t="array" ref="C125">IFERROR(INDEX(_xlfn._xlws.FILTER(INDIRECT(C$1&amp;"!$E1:$E10000"),INDIRECT(C$1&amp;"!$a1:$a10000")=汇总!$A125),COUNTIF(INDIRECT(C$1&amp;"!$a1:$a10000"),汇总!$A125)),C124)</f>
        <v/>
      </c>
      <c r="D125" s="563">
        <f t="array" ref="D125">IFERROR(INDEX(_xlfn._xlws.FILTER(INDIRECT(D$1&amp;"!$E1:$E10000"),INDIRECT(D$1&amp;"!$a1:$a10000")=汇总!$A125),COUNTIF(INDIRECT(D$1&amp;"!$a1:$a10000"),汇总!$A125)),D124)</f>
        <v/>
      </c>
      <c r="E125" s="563">
        <f t="array" ref="E125">IFERROR(INDEX(_xlfn._xlws.FILTER(INDIRECT(E$1&amp;"!$E1:$E10000"),INDIRECT(E$1&amp;"!$a1:$a10000")=汇总!$A125),COUNTIF(INDIRECT(E$1&amp;"!$a1:$a10000"),汇总!$A125)),E124)</f>
        <v/>
      </c>
      <c r="F125" s="563">
        <f t="array" ref="F125">IFERROR(INDEX(_xlfn._xlws.FILTER(INDIRECT(F$1&amp;"!$E1:$E10000"),INDIRECT(F$1&amp;"!$a1:$a10000")=汇总!$A125),COUNTIF(INDIRECT(F$1&amp;"!$a1:$a10000"),汇总!$A125)),F124)</f>
        <v/>
      </c>
      <c r="G125" s="563">
        <f t="array" ref="G125">IFERROR(INDEX(_xlfn._xlws.FILTER(INDIRECT(G$1&amp;"!$E1:$E10000"),INDIRECT(G$1&amp;"!$a1:$a10000")=汇总!$A125),COUNTIF(INDIRECT(G$1&amp;"!$a1:$a10000"),汇总!$A125)),G124)</f>
        <v/>
      </c>
      <c r="H125" s="563">
        <f t="array" ref="H125">IFERROR(INDEX(_xlfn._xlws.FILTER(INDIRECT(H$1&amp;"!$E1:$E10000"),INDIRECT(H$1&amp;"!$a1:$a10000")=汇总!$A125),COUNTIF(INDIRECT(H$1&amp;"!$a1:$a10000"),汇总!$A125)),H124)</f>
        <v/>
      </c>
      <c r="I125" s="563">
        <f t="array" ref="I125">IFERROR(INDEX(_xlfn._xlws.FILTER(INDIRECT(I$1&amp;"!$E1:$E10000"),INDIRECT(I$1&amp;"!$a1:$a10000")=汇总!$A125),COUNTIF(INDIRECT(I$1&amp;"!$a1:$a10000"),汇总!$A125)),I124)</f>
        <v/>
      </c>
      <c r="J125" s="563">
        <f t="array" ref="J125">IFERROR(INDEX(_xlfn._xlws.FILTER(INDIRECT(J$1&amp;"!$E1:$E10000"),INDIRECT(J$1&amp;"!$a1:$a10000")=汇总!$A125),COUNTIF(INDIRECT(J$1&amp;"!$a1:$a10000"),汇总!$A125)),J124)</f>
        <v/>
      </c>
      <c r="K125" s="563">
        <f t="array" ref="K125">IFERROR(INDEX(_xlfn._xlws.FILTER(INDIRECT(K$1&amp;"!$E1:$E10000"),INDIRECT(K$1&amp;"!$a1:$a10000")=汇总!$A125),COUNTIF(INDIRECT(K$1&amp;"!$a1:$a10000"),汇总!$A125)),K124)</f>
        <v/>
      </c>
      <c r="L125" s="563">
        <f t="array" ref="L125">IFERROR(INDEX(_xlfn._xlws.FILTER(INDIRECT(L$1&amp;"!$E1:$E10000"),INDIRECT(L$1&amp;"!$a1:$a10000")=汇总!$A125),COUNTIF(INDIRECT(L$1&amp;"!$a1:$a10000"),汇总!$A125)),L124)</f>
        <v/>
      </c>
      <c r="M125" s="563">
        <f t="array" ref="M125">IFERROR(INDEX(_xlfn._xlws.FILTER(INDIRECT(M$1&amp;"!$E1:$E10000"),INDIRECT(M$1&amp;"!$a1:$a10000")=汇总!$A125),COUNTIF(INDIRECT(M$1&amp;"!$a1:$a10000"),汇总!$A125)),M124)</f>
        <v/>
      </c>
      <c r="N125" s="563">
        <f t="array" ref="N125">IFERROR(INDEX(_xlfn._xlws.FILTER(INDIRECT(N$1&amp;"!$E1:$E10000"),INDIRECT(N$1&amp;"!$a1:$a10000")=汇总!$A125),COUNTIF(INDIRECT(N$1&amp;"!$a1:$a10000"),汇总!$A125)),N124)</f>
        <v/>
      </c>
      <c r="O125" s="563">
        <f t="array" ref="O125">IFERROR(INDEX(_xlfn._xlws.FILTER(INDIRECT(O$1&amp;"!$E1:$E10000"),INDIRECT(O$1&amp;"!$a1:$a10000")=汇总!$A125),COUNTIF(INDIRECT(O$1&amp;"!$a1:$a10000"),汇总!$A125)),O124)</f>
        <v/>
      </c>
      <c r="P125" s="563">
        <f t="array" ref="P125">IFERROR(INDEX(_xlfn._xlws.FILTER(INDIRECT(P$1&amp;"!$E1:$E10000"),INDIRECT(P$1&amp;"!$a1:$a10000")=汇总!$A125),COUNTIF(INDIRECT(P$1&amp;"!$a1:$a10000"),汇总!$A125)),P124)</f>
        <v/>
      </c>
      <c r="Q125" s="563">
        <f t="array" ref="Q125">IFERROR(INDEX(_xlfn._xlws.FILTER(INDIRECT(Q$1&amp;"!$E1:$E10000"),INDIRECT(Q$1&amp;"!$a1:$a10000")=汇总!$A125),COUNTIF(INDIRECT(Q$1&amp;"!$a1:$a10000"),汇总!$A125)),Q124)</f>
        <v/>
      </c>
      <c r="R125" s="563">
        <f t="array" ref="R125">IFERROR(INDEX(_xlfn._xlws.FILTER(INDIRECT(R$1&amp;"!$E1:$E10000"),INDIRECT(R$1&amp;"!$a1:$a10000")=汇总!$A125),COUNTIF(INDIRECT(R$1&amp;"!$a1:$a10000"),汇总!$A125)),R124)</f>
        <v/>
      </c>
      <c r="S125" s="563">
        <f t="array" ref="S125">IFERROR(INDEX(_xlfn._xlws.FILTER(INDIRECT(S$1&amp;"!$E1:$E10000"),INDIRECT(S$1&amp;"!$a1:$a10000")=汇总!$A125),COUNTIF(INDIRECT(S$1&amp;"!$a1:$a10000"),汇总!$A125)),S124)</f>
        <v/>
      </c>
      <c r="T125" s="563">
        <f t="array" ref="T125">IFERROR(INDEX(_xlfn._xlws.FILTER(INDIRECT(T$1&amp;"!$E1:$E10000"),INDIRECT(T$1&amp;"!$a1:$a10000")=汇总!$A125),COUNTIF(INDIRECT(T$1&amp;"!$a1:$a10000"),汇总!$A125)),T124)</f>
        <v/>
      </c>
    </row>
    <row r="126">
      <c r="A126" s="1">
        <f>+A125+1</f>
        <v/>
      </c>
      <c r="B126" s="563">
        <f t="array" ref="B126">IFERROR(INDEX(_xlfn._xlws.FILTER(INDIRECT(B$1&amp;"!$E1:$E10000"),INDIRECT(B$1&amp;"!$a1:$a10000")=汇总!$A126),COUNTIF(INDIRECT(B$1&amp;"!$a1:$a10000"),汇总!$A126)),B125)</f>
        <v/>
      </c>
      <c r="C126" s="563">
        <f t="array" ref="C126">IFERROR(INDEX(_xlfn._xlws.FILTER(INDIRECT(C$1&amp;"!$E1:$E10000"),INDIRECT(C$1&amp;"!$a1:$a10000")=汇总!$A126),COUNTIF(INDIRECT(C$1&amp;"!$a1:$a10000"),汇总!$A126)),C125)</f>
        <v/>
      </c>
      <c r="D126" s="563">
        <f t="array" ref="D126">IFERROR(INDEX(_xlfn._xlws.FILTER(INDIRECT(D$1&amp;"!$E1:$E10000"),INDIRECT(D$1&amp;"!$a1:$a10000")=汇总!$A126),COUNTIF(INDIRECT(D$1&amp;"!$a1:$a10000"),汇总!$A126)),D125)</f>
        <v/>
      </c>
      <c r="E126" s="563">
        <f t="array" ref="E126">IFERROR(INDEX(_xlfn._xlws.FILTER(INDIRECT(E$1&amp;"!$E1:$E10000"),INDIRECT(E$1&amp;"!$a1:$a10000")=汇总!$A126),COUNTIF(INDIRECT(E$1&amp;"!$a1:$a10000"),汇总!$A126)),E125)</f>
        <v/>
      </c>
      <c r="F126" s="563">
        <f t="array" ref="F126">IFERROR(INDEX(_xlfn._xlws.FILTER(INDIRECT(F$1&amp;"!$E1:$E10000"),INDIRECT(F$1&amp;"!$a1:$a10000")=汇总!$A126),COUNTIF(INDIRECT(F$1&amp;"!$a1:$a10000"),汇总!$A126)),F125)</f>
        <v/>
      </c>
      <c r="G126" s="563">
        <f t="array" ref="G126">IFERROR(INDEX(_xlfn._xlws.FILTER(INDIRECT(G$1&amp;"!$E1:$E10000"),INDIRECT(G$1&amp;"!$a1:$a10000")=汇总!$A126),COUNTIF(INDIRECT(G$1&amp;"!$a1:$a10000"),汇总!$A126)),G125)</f>
        <v/>
      </c>
      <c r="H126" s="563">
        <f t="array" ref="H126">IFERROR(INDEX(_xlfn._xlws.FILTER(INDIRECT(H$1&amp;"!$E1:$E10000"),INDIRECT(H$1&amp;"!$a1:$a10000")=汇总!$A126),COUNTIF(INDIRECT(H$1&amp;"!$a1:$a10000"),汇总!$A126)),H125)</f>
        <v/>
      </c>
      <c r="I126" s="563">
        <f t="array" ref="I126">IFERROR(INDEX(_xlfn._xlws.FILTER(INDIRECT(I$1&amp;"!$E1:$E10000"),INDIRECT(I$1&amp;"!$a1:$a10000")=汇总!$A126),COUNTIF(INDIRECT(I$1&amp;"!$a1:$a10000"),汇总!$A126)),I125)</f>
        <v/>
      </c>
      <c r="J126" s="563">
        <f t="array" ref="J126">IFERROR(INDEX(_xlfn._xlws.FILTER(INDIRECT(J$1&amp;"!$E1:$E10000"),INDIRECT(J$1&amp;"!$a1:$a10000")=汇总!$A126),COUNTIF(INDIRECT(J$1&amp;"!$a1:$a10000"),汇总!$A126)),J125)</f>
        <v/>
      </c>
      <c r="K126" s="563">
        <f t="array" ref="K126">IFERROR(INDEX(_xlfn._xlws.FILTER(INDIRECT(K$1&amp;"!$E1:$E10000"),INDIRECT(K$1&amp;"!$a1:$a10000")=汇总!$A126),COUNTIF(INDIRECT(K$1&amp;"!$a1:$a10000"),汇总!$A126)),K125)</f>
        <v/>
      </c>
      <c r="L126" s="563">
        <f t="array" ref="L126">IFERROR(INDEX(_xlfn._xlws.FILTER(INDIRECT(L$1&amp;"!$E1:$E10000"),INDIRECT(L$1&amp;"!$a1:$a10000")=汇总!$A126),COUNTIF(INDIRECT(L$1&amp;"!$a1:$a10000"),汇总!$A126)),L125)</f>
        <v/>
      </c>
      <c r="M126" s="563">
        <f t="array" ref="M126">IFERROR(INDEX(_xlfn._xlws.FILTER(INDIRECT(M$1&amp;"!$E1:$E10000"),INDIRECT(M$1&amp;"!$a1:$a10000")=汇总!$A126),COUNTIF(INDIRECT(M$1&amp;"!$a1:$a10000"),汇总!$A126)),M125)</f>
        <v/>
      </c>
      <c r="N126" s="563">
        <f t="array" ref="N126">IFERROR(INDEX(_xlfn._xlws.FILTER(INDIRECT(N$1&amp;"!$E1:$E10000"),INDIRECT(N$1&amp;"!$a1:$a10000")=汇总!$A126),COUNTIF(INDIRECT(N$1&amp;"!$a1:$a10000"),汇总!$A126)),N125)</f>
        <v/>
      </c>
      <c r="O126" s="563">
        <f t="array" ref="O126">IFERROR(INDEX(_xlfn._xlws.FILTER(INDIRECT(O$1&amp;"!$E1:$E10000"),INDIRECT(O$1&amp;"!$a1:$a10000")=汇总!$A126),COUNTIF(INDIRECT(O$1&amp;"!$a1:$a10000"),汇总!$A126)),O125)</f>
        <v/>
      </c>
      <c r="P126" s="563">
        <f t="array" ref="P126">IFERROR(INDEX(_xlfn._xlws.FILTER(INDIRECT(P$1&amp;"!$E1:$E10000"),INDIRECT(P$1&amp;"!$a1:$a10000")=汇总!$A126),COUNTIF(INDIRECT(P$1&amp;"!$a1:$a10000"),汇总!$A126)),P125)</f>
        <v/>
      </c>
      <c r="Q126" s="563">
        <f t="array" ref="Q126">IFERROR(INDEX(_xlfn._xlws.FILTER(INDIRECT(Q$1&amp;"!$E1:$E10000"),INDIRECT(Q$1&amp;"!$a1:$a10000")=汇总!$A126),COUNTIF(INDIRECT(Q$1&amp;"!$a1:$a10000"),汇总!$A126)),Q125)</f>
        <v/>
      </c>
      <c r="R126" s="563">
        <f t="array" ref="R126">IFERROR(INDEX(_xlfn._xlws.FILTER(INDIRECT(R$1&amp;"!$E1:$E10000"),INDIRECT(R$1&amp;"!$a1:$a10000")=汇总!$A126),COUNTIF(INDIRECT(R$1&amp;"!$a1:$a10000"),汇总!$A126)),R125)</f>
        <v/>
      </c>
      <c r="S126" s="563">
        <f t="array" ref="S126">IFERROR(INDEX(_xlfn._xlws.FILTER(INDIRECT(S$1&amp;"!$E1:$E10000"),INDIRECT(S$1&amp;"!$a1:$a10000")=汇总!$A126),COUNTIF(INDIRECT(S$1&amp;"!$a1:$a10000"),汇总!$A126)),S125)</f>
        <v/>
      </c>
      <c r="T126" s="563">
        <f t="array" ref="T126">IFERROR(INDEX(_xlfn._xlws.FILTER(INDIRECT(T$1&amp;"!$E1:$E10000"),INDIRECT(T$1&amp;"!$a1:$a10000")=汇总!$A126),COUNTIF(INDIRECT(T$1&amp;"!$a1:$a10000"),汇总!$A126)),T125)</f>
        <v/>
      </c>
    </row>
    <row r="127">
      <c r="A127" s="1">
        <f>+A126+1</f>
        <v/>
      </c>
      <c r="B127" s="563">
        <f t="array" ref="B127">IFERROR(INDEX(_xlfn._xlws.FILTER(INDIRECT(B$1&amp;"!$E1:$E10000"),INDIRECT(B$1&amp;"!$a1:$a10000")=汇总!$A127),COUNTIF(INDIRECT(B$1&amp;"!$a1:$a10000"),汇总!$A127)),B126)</f>
        <v/>
      </c>
      <c r="C127" s="563">
        <f t="array" ref="C127">IFERROR(INDEX(_xlfn._xlws.FILTER(INDIRECT(C$1&amp;"!$E1:$E10000"),INDIRECT(C$1&amp;"!$a1:$a10000")=汇总!$A127),COUNTIF(INDIRECT(C$1&amp;"!$a1:$a10000"),汇总!$A127)),C126)</f>
        <v/>
      </c>
      <c r="D127" s="563">
        <f t="array" ref="D127">IFERROR(INDEX(_xlfn._xlws.FILTER(INDIRECT(D$1&amp;"!$E1:$E10000"),INDIRECT(D$1&amp;"!$a1:$a10000")=汇总!$A127),COUNTIF(INDIRECT(D$1&amp;"!$a1:$a10000"),汇总!$A127)),D126)</f>
        <v/>
      </c>
      <c r="E127" s="563">
        <f t="array" ref="E127">IFERROR(INDEX(_xlfn._xlws.FILTER(INDIRECT(E$1&amp;"!$E1:$E10000"),INDIRECT(E$1&amp;"!$a1:$a10000")=汇总!$A127),COUNTIF(INDIRECT(E$1&amp;"!$a1:$a10000"),汇总!$A127)),E126)</f>
        <v/>
      </c>
      <c r="F127" s="563">
        <f t="array" ref="F127">IFERROR(INDEX(_xlfn._xlws.FILTER(INDIRECT(F$1&amp;"!$E1:$E10000"),INDIRECT(F$1&amp;"!$a1:$a10000")=汇总!$A127),COUNTIF(INDIRECT(F$1&amp;"!$a1:$a10000"),汇总!$A127)),F126)</f>
        <v/>
      </c>
      <c r="G127" s="563">
        <f t="array" ref="G127">IFERROR(INDEX(_xlfn._xlws.FILTER(INDIRECT(G$1&amp;"!$E1:$E10000"),INDIRECT(G$1&amp;"!$a1:$a10000")=汇总!$A127),COUNTIF(INDIRECT(G$1&amp;"!$a1:$a10000"),汇总!$A127)),G126)</f>
        <v/>
      </c>
      <c r="H127" s="563">
        <f t="array" ref="H127">IFERROR(INDEX(_xlfn._xlws.FILTER(INDIRECT(H$1&amp;"!$E1:$E10000"),INDIRECT(H$1&amp;"!$a1:$a10000")=汇总!$A127),COUNTIF(INDIRECT(H$1&amp;"!$a1:$a10000"),汇总!$A127)),H126)</f>
        <v/>
      </c>
      <c r="I127" s="563">
        <f t="array" ref="I127">IFERROR(INDEX(_xlfn._xlws.FILTER(INDIRECT(I$1&amp;"!$E1:$E10000"),INDIRECT(I$1&amp;"!$a1:$a10000")=汇总!$A127),COUNTIF(INDIRECT(I$1&amp;"!$a1:$a10000"),汇总!$A127)),I126)</f>
        <v/>
      </c>
      <c r="J127" s="563">
        <f t="array" ref="J127">IFERROR(INDEX(_xlfn._xlws.FILTER(INDIRECT(J$1&amp;"!$E1:$E10000"),INDIRECT(J$1&amp;"!$a1:$a10000")=汇总!$A127),COUNTIF(INDIRECT(J$1&amp;"!$a1:$a10000"),汇总!$A127)),J126)</f>
        <v/>
      </c>
      <c r="K127" s="563">
        <f t="array" ref="K127">IFERROR(INDEX(_xlfn._xlws.FILTER(INDIRECT(K$1&amp;"!$E1:$E10000"),INDIRECT(K$1&amp;"!$a1:$a10000")=汇总!$A127),COUNTIF(INDIRECT(K$1&amp;"!$a1:$a10000"),汇总!$A127)),K126)</f>
        <v/>
      </c>
      <c r="L127" s="563">
        <f t="array" ref="L127">IFERROR(INDEX(_xlfn._xlws.FILTER(INDIRECT(L$1&amp;"!$E1:$E10000"),INDIRECT(L$1&amp;"!$a1:$a10000")=汇总!$A127),COUNTIF(INDIRECT(L$1&amp;"!$a1:$a10000"),汇总!$A127)),L126)</f>
        <v/>
      </c>
      <c r="M127" s="563">
        <f t="array" ref="M127">IFERROR(INDEX(_xlfn._xlws.FILTER(INDIRECT(M$1&amp;"!$E1:$E10000"),INDIRECT(M$1&amp;"!$a1:$a10000")=汇总!$A127),COUNTIF(INDIRECT(M$1&amp;"!$a1:$a10000"),汇总!$A127)),M126)</f>
        <v/>
      </c>
      <c r="N127" s="563">
        <f t="array" ref="N127">IFERROR(INDEX(_xlfn._xlws.FILTER(INDIRECT(N$1&amp;"!$E1:$E10000"),INDIRECT(N$1&amp;"!$a1:$a10000")=汇总!$A127),COUNTIF(INDIRECT(N$1&amp;"!$a1:$a10000"),汇总!$A127)),N126)</f>
        <v/>
      </c>
      <c r="O127" s="563">
        <f t="array" ref="O127">IFERROR(INDEX(_xlfn._xlws.FILTER(INDIRECT(O$1&amp;"!$E1:$E10000"),INDIRECT(O$1&amp;"!$a1:$a10000")=汇总!$A127),COUNTIF(INDIRECT(O$1&amp;"!$a1:$a10000"),汇总!$A127)),O126)</f>
        <v/>
      </c>
      <c r="P127" s="563">
        <f t="array" ref="P127">IFERROR(INDEX(_xlfn._xlws.FILTER(INDIRECT(P$1&amp;"!$E1:$E10000"),INDIRECT(P$1&amp;"!$a1:$a10000")=汇总!$A127),COUNTIF(INDIRECT(P$1&amp;"!$a1:$a10000"),汇总!$A127)),P126)</f>
        <v/>
      </c>
      <c r="Q127" s="563">
        <f t="array" ref="Q127">IFERROR(INDEX(_xlfn._xlws.FILTER(INDIRECT(Q$1&amp;"!$E1:$E10000"),INDIRECT(Q$1&amp;"!$a1:$a10000")=汇总!$A127),COUNTIF(INDIRECT(Q$1&amp;"!$a1:$a10000"),汇总!$A127)),Q126)</f>
        <v/>
      </c>
      <c r="R127" s="563">
        <f t="array" ref="R127">IFERROR(INDEX(_xlfn._xlws.FILTER(INDIRECT(R$1&amp;"!$E1:$E10000"),INDIRECT(R$1&amp;"!$a1:$a10000")=汇总!$A127),COUNTIF(INDIRECT(R$1&amp;"!$a1:$a10000"),汇总!$A127)),R126)</f>
        <v/>
      </c>
      <c r="S127" s="563">
        <f t="array" ref="S127">IFERROR(INDEX(_xlfn._xlws.FILTER(INDIRECT(S$1&amp;"!$E1:$E10000"),INDIRECT(S$1&amp;"!$a1:$a10000")=汇总!$A127),COUNTIF(INDIRECT(S$1&amp;"!$a1:$a10000"),汇总!$A127)),S126)</f>
        <v/>
      </c>
      <c r="T127" s="563">
        <f t="array" ref="T127">IFERROR(INDEX(_xlfn._xlws.FILTER(INDIRECT(T$1&amp;"!$E1:$E10000"),INDIRECT(T$1&amp;"!$a1:$a10000")=汇总!$A127),COUNTIF(INDIRECT(T$1&amp;"!$a1:$a10000"),汇总!$A127)),T126)</f>
        <v/>
      </c>
    </row>
    <row r="128">
      <c r="A128" s="1">
        <f>+A127+1</f>
        <v/>
      </c>
      <c r="B128" s="563">
        <f t="array" ref="B128">IFERROR(INDEX(_xlfn._xlws.FILTER(INDIRECT(B$1&amp;"!$E1:$E10000"),INDIRECT(B$1&amp;"!$a1:$a10000")=汇总!$A128),COUNTIF(INDIRECT(B$1&amp;"!$a1:$a10000"),汇总!$A128)),B127)</f>
        <v/>
      </c>
      <c r="C128" s="563">
        <f t="array" ref="C128">IFERROR(INDEX(_xlfn._xlws.FILTER(INDIRECT(C$1&amp;"!$E1:$E10000"),INDIRECT(C$1&amp;"!$a1:$a10000")=汇总!$A128),COUNTIF(INDIRECT(C$1&amp;"!$a1:$a10000"),汇总!$A128)),C127)</f>
        <v/>
      </c>
      <c r="D128" s="563">
        <f t="array" ref="D128">IFERROR(INDEX(_xlfn._xlws.FILTER(INDIRECT(D$1&amp;"!$E1:$E10000"),INDIRECT(D$1&amp;"!$a1:$a10000")=汇总!$A128),COUNTIF(INDIRECT(D$1&amp;"!$a1:$a10000"),汇总!$A128)),D127)</f>
        <v/>
      </c>
      <c r="E128" s="563">
        <f t="array" ref="E128">IFERROR(INDEX(_xlfn._xlws.FILTER(INDIRECT(E$1&amp;"!$E1:$E10000"),INDIRECT(E$1&amp;"!$a1:$a10000")=汇总!$A128),COUNTIF(INDIRECT(E$1&amp;"!$a1:$a10000"),汇总!$A128)),E127)</f>
        <v/>
      </c>
      <c r="F128" s="563">
        <f t="array" ref="F128">IFERROR(INDEX(_xlfn._xlws.FILTER(INDIRECT(F$1&amp;"!$E1:$E10000"),INDIRECT(F$1&amp;"!$a1:$a10000")=汇总!$A128),COUNTIF(INDIRECT(F$1&amp;"!$a1:$a10000"),汇总!$A128)),F127)</f>
        <v/>
      </c>
      <c r="G128" s="563">
        <f t="array" ref="G128">IFERROR(INDEX(_xlfn._xlws.FILTER(INDIRECT(G$1&amp;"!$E1:$E10000"),INDIRECT(G$1&amp;"!$a1:$a10000")=汇总!$A128),COUNTIF(INDIRECT(G$1&amp;"!$a1:$a10000"),汇总!$A128)),G127)</f>
        <v/>
      </c>
      <c r="H128" s="563">
        <f t="array" ref="H128">IFERROR(INDEX(_xlfn._xlws.FILTER(INDIRECT(H$1&amp;"!$E1:$E10000"),INDIRECT(H$1&amp;"!$a1:$a10000")=汇总!$A128),COUNTIF(INDIRECT(H$1&amp;"!$a1:$a10000"),汇总!$A128)),H127)</f>
        <v/>
      </c>
      <c r="I128" s="563">
        <f t="array" ref="I128">IFERROR(INDEX(_xlfn._xlws.FILTER(INDIRECT(I$1&amp;"!$E1:$E10000"),INDIRECT(I$1&amp;"!$a1:$a10000")=汇总!$A128),COUNTIF(INDIRECT(I$1&amp;"!$a1:$a10000"),汇总!$A128)),I127)</f>
        <v/>
      </c>
      <c r="J128" s="563">
        <f t="array" ref="J128">IFERROR(INDEX(_xlfn._xlws.FILTER(INDIRECT(J$1&amp;"!$E1:$E10000"),INDIRECT(J$1&amp;"!$a1:$a10000")=汇总!$A128),COUNTIF(INDIRECT(J$1&amp;"!$a1:$a10000"),汇总!$A128)),J127)</f>
        <v/>
      </c>
      <c r="K128" s="563">
        <f t="array" ref="K128">IFERROR(INDEX(_xlfn._xlws.FILTER(INDIRECT(K$1&amp;"!$E1:$E10000"),INDIRECT(K$1&amp;"!$a1:$a10000")=汇总!$A128),COUNTIF(INDIRECT(K$1&amp;"!$a1:$a10000"),汇总!$A128)),K127)</f>
        <v/>
      </c>
      <c r="L128" s="563">
        <f t="array" ref="L128">IFERROR(INDEX(_xlfn._xlws.FILTER(INDIRECT(L$1&amp;"!$E1:$E10000"),INDIRECT(L$1&amp;"!$a1:$a10000")=汇总!$A128),COUNTIF(INDIRECT(L$1&amp;"!$a1:$a10000"),汇总!$A128)),L127)</f>
        <v/>
      </c>
      <c r="M128" s="563">
        <f t="array" ref="M128">IFERROR(INDEX(_xlfn._xlws.FILTER(INDIRECT(M$1&amp;"!$E1:$E10000"),INDIRECT(M$1&amp;"!$a1:$a10000")=汇总!$A128),COUNTIF(INDIRECT(M$1&amp;"!$a1:$a10000"),汇总!$A128)),M127)</f>
        <v/>
      </c>
      <c r="N128" s="563">
        <f t="array" ref="N128">IFERROR(INDEX(_xlfn._xlws.FILTER(INDIRECT(N$1&amp;"!$E1:$E10000"),INDIRECT(N$1&amp;"!$a1:$a10000")=汇总!$A128),COUNTIF(INDIRECT(N$1&amp;"!$a1:$a10000"),汇总!$A128)),N127)</f>
        <v/>
      </c>
      <c r="O128" s="563">
        <f t="array" ref="O128">IFERROR(INDEX(_xlfn._xlws.FILTER(INDIRECT(O$1&amp;"!$E1:$E10000"),INDIRECT(O$1&amp;"!$a1:$a10000")=汇总!$A128),COUNTIF(INDIRECT(O$1&amp;"!$a1:$a10000"),汇总!$A128)),O127)</f>
        <v/>
      </c>
      <c r="P128" s="563">
        <f t="array" ref="P128">IFERROR(INDEX(_xlfn._xlws.FILTER(INDIRECT(P$1&amp;"!$E1:$E10000"),INDIRECT(P$1&amp;"!$a1:$a10000")=汇总!$A128),COUNTIF(INDIRECT(P$1&amp;"!$a1:$a10000"),汇总!$A128)),P127)</f>
        <v/>
      </c>
      <c r="Q128" s="563">
        <f t="array" ref="Q128">IFERROR(INDEX(_xlfn._xlws.FILTER(INDIRECT(Q$1&amp;"!$E1:$E10000"),INDIRECT(Q$1&amp;"!$a1:$a10000")=汇总!$A128),COUNTIF(INDIRECT(Q$1&amp;"!$a1:$a10000"),汇总!$A128)),Q127)</f>
        <v/>
      </c>
      <c r="R128" s="563">
        <f t="array" ref="R128">IFERROR(INDEX(_xlfn._xlws.FILTER(INDIRECT(R$1&amp;"!$E1:$E10000"),INDIRECT(R$1&amp;"!$a1:$a10000")=汇总!$A128),COUNTIF(INDIRECT(R$1&amp;"!$a1:$a10000"),汇总!$A128)),R127)</f>
        <v/>
      </c>
      <c r="S128" s="563">
        <f t="array" ref="S128">IFERROR(INDEX(_xlfn._xlws.FILTER(INDIRECT(S$1&amp;"!$E1:$E10000"),INDIRECT(S$1&amp;"!$a1:$a10000")=汇总!$A128),COUNTIF(INDIRECT(S$1&amp;"!$a1:$a10000"),汇总!$A128)),S127)</f>
        <v/>
      </c>
      <c r="T128" s="563">
        <f t="array" ref="T128">IFERROR(INDEX(_xlfn._xlws.FILTER(INDIRECT(T$1&amp;"!$E1:$E10000"),INDIRECT(T$1&amp;"!$a1:$a10000")=汇总!$A128),COUNTIF(INDIRECT(T$1&amp;"!$a1:$a10000"),汇总!$A128)),T127)</f>
        <v/>
      </c>
    </row>
    <row r="129">
      <c r="A129" s="1">
        <f>+A128+1</f>
        <v/>
      </c>
      <c r="B129" s="563">
        <f t="array" ref="B129">IFERROR(INDEX(_xlfn._xlws.FILTER(INDIRECT(B$1&amp;"!$E1:$E10000"),INDIRECT(B$1&amp;"!$a1:$a10000")=汇总!$A129),COUNTIF(INDIRECT(B$1&amp;"!$a1:$a10000"),汇总!$A129)),B128)</f>
        <v/>
      </c>
      <c r="C129" s="563">
        <f t="array" ref="C129">IFERROR(INDEX(_xlfn._xlws.FILTER(INDIRECT(C$1&amp;"!$E1:$E10000"),INDIRECT(C$1&amp;"!$a1:$a10000")=汇总!$A129),COUNTIF(INDIRECT(C$1&amp;"!$a1:$a10000"),汇总!$A129)),C128)</f>
        <v/>
      </c>
      <c r="D129" s="563">
        <f t="array" ref="D129">IFERROR(INDEX(_xlfn._xlws.FILTER(INDIRECT(D$1&amp;"!$E1:$E10000"),INDIRECT(D$1&amp;"!$a1:$a10000")=汇总!$A129),COUNTIF(INDIRECT(D$1&amp;"!$a1:$a10000"),汇总!$A129)),D128)</f>
        <v/>
      </c>
      <c r="E129" s="563">
        <f t="array" ref="E129">IFERROR(INDEX(_xlfn._xlws.FILTER(INDIRECT(E$1&amp;"!$E1:$E10000"),INDIRECT(E$1&amp;"!$a1:$a10000")=汇总!$A129),COUNTIF(INDIRECT(E$1&amp;"!$a1:$a10000"),汇总!$A129)),E128)</f>
        <v/>
      </c>
      <c r="F129" s="563">
        <f t="array" ref="F129">IFERROR(INDEX(_xlfn._xlws.FILTER(INDIRECT(F$1&amp;"!$E1:$E10000"),INDIRECT(F$1&amp;"!$a1:$a10000")=汇总!$A129),COUNTIF(INDIRECT(F$1&amp;"!$a1:$a10000"),汇总!$A129)),F128)</f>
        <v/>
      </c>
      <c r="G129" s="563">
        <f t="array" ref="G129">IFERROR(INDEX(_xlfn._xlws.FILTER(INDIRECT(G$1&amp;"!$E1:$E10000"),INDIRECT(G$1&amp;"!$a1:$a10000")=汇总!$A129),COUNTIF(INDIRECT(G$1&amp;"!$a1:$a10000"),汇总!$A129)),G128)</f>
        <v/>
      </c>
      <c r="H129" s="563">
        <f t="array" ref="H129">IFERROR(INDEX(_xlfn._xlws.FILTER(INDIRECT(H$1&amp;"!$E1:$E10000"),INDIRECT(H$1&amp;"!$a1:$a10000")=汇总!$A129),COUNTIF(INDIRECT(H$1&amp;"!$a1:$a10000"),汇总!$A129)),H128)</f>
        <v/>
      </c>
      <c r="I129" s="563">
        <f t="array" ref="I129">IFERROR(INDEX(_xlfn._xlws.FILTER(INDIRECT(I$1&amp;"!$E1:$E10000"),INDIRECT(I$1&amp;"!$a1:$a10000")=汇总!$A129),COUNTIF(INDIRECT(I$1&amp;"!$a1:$a10000"),汇总!$A129)),I128)</f>
        <v/>
      </c>
      <c r="J129" s="563">
        <f t="array" ref="J129">IFERROR(INDEX(_xlfn._xlws.FILTER(INDIRECT(J$1&amp;"!$E1:$E10000"),INDIRECT(J$1&amp;"!$a1:$a10000")=汇总!$A129),COUNTIF(INDIRECT(J$1&amp;"!$a1:$a10000"),汇总!$A129)),J128)</f>
        <v/>
      </c>
      <c r="K129" s="563">
        <f t="array" ref="K129">IFERROR(INDEX(_xlfn._xlws.FILTER(INDIRECT(K$1&amp;"!$E1:$E10000"),INDIRECT(K$1&amp;"!$a1:$a10000")=汇总!$A129),COUNTIF(INDIRECT(K$1&amp;"!$a1:$a10000"),汇总!$A129)),K128)</f>
        <v/>
      </c>
      <c r="L129" s="563">
        <f t="array" ref="L129">IFERROR(INDEX(_xlfn._xlws.FILTER(INDIRECT(L$1&amp;"!$E1:$E10000"),INDIRECT(L$1&amp;"!$a1:$a10000")=汇总!$A129),COUNTIF(INDIRECT(L$1&amp;"!$a1:$a10000"),汇总!$A129)),L128)</f>
        <v/>
      </c>
      <c r="M129" s="563">
        <f t="array" ref="M129">IFERROR(INDEX(_xlfn._xlws.FILTER(INDIRECT(M$1&amp;"!$E1:$E10000"),INDIRECT(M$1&amp;"!$a1:$a10000")=汇总!$A129),COUNTIF(INDIRECT(M$1&amp;"!$a1:$a10000"),汇总!$A129)),M128)</f>
        <v/>
      </c>
      <c r="N129" s="563">
        <f t="array" ref="N129">IFERROR(INDEX(_xlfn._xlws.FILTER(INDIRECT(N$1&amp;"!$E1:$E10000"),INDIRECT(N$1&amp;"!$a1:$a10000")=汇总!$A129),COUNTIF(INDIRECT(N$1&amp;"!$a1:$a10000"),汇总!$A129)),N128)</f>
        <v/>
      </c>
      <c r="O129" s="563">
        <f t="array" ref="O129">IFERROR(INDEX(_xlfn._xlws.FILTER(INDIRECT(O$1&amp;"!$E1:$E10000"),INDIRECT(O$1&amp;"!$a1:$a10000")=汇总!$A129),COUNTIF(INDIRECT(O$1&amp;"!$a1:$a10000"),汇总!$A129)),O128)</f>
        <v/>
      </c>
      <c r="P129" s="563">
        <f t="array" ref="P129">IFERROR(INDEX(_xlfn._xlws.FILTER(INDIRECT(P$1&amp;"!$E1:$E10000"),INDIRECT(P$1&amp;"!$a1:$a10000")=汇总!$A129),COUNTIF(INDIRECT(P$1&amp;"!$a1:$a10000"),汇总!$A129)),P128)</f>
        <v/>
      </c>
      <c r="Q129" s="563">
        <f t="array" ref="Q129">IFERROR(INDEX(_xlfn._xlws.FILTER(INDIRECT(Q$1&amp;"!$E1:$E10000"),INDIRECT(Q$1&amp;"!$a1:$a10000")=汇总!$A129),COUNTIF(INDIRECT(Q$1&amp;"!$a1:$a10000"),汇总!$A129)),Q128)</f>
        <v/>
      </c>
      <c r="R129" s="563">
        <f t="array" ref="R129">IFERROR(INDEX(_xlfn._xlws.FILTER(INDIRECT(R$1&amp;"!$E1:$E10000"),INDIRECT(R$1&amp;"!$a1:$a10000")=汇总!$A129),COUNTIF(INDIRECT(R$1&amp;"!$a1:$a10000"),汇总!$A129)),R128)</f>
        <v/>
      </c>
      <c r="S129" s="563">
        <f t="array" ref="S129">IFERROR(INDEX(_xlfn._xlws.FILTER(INDIRECT(S$1&amp;"!$E1:$E10000"),INDIRECT(S$1&amp;"!$a1:$a10000")=汇总!$A129),COUNTIF(INDIRECT(S$1&amp;"!$a1:$a10000"),汇总!$A129)),S128)</f>
        <v/>
      </c>
      <c r="T129" s="563">
        <f t="array" ref="T129">IFERROR(INDEX(_xlfn._xlws.FILTER(INDIRECT(T$1&amp;"!$E1:$E10000"),INDIRECT(T$1&amp;"!$a1:$a10000")=汇总!$A129),COUNTIF(INDIRECT(T$1&amp;"!$a1:$a10000"),汇总!$A129)),T128)</f>
        <v/>
      </c>
    </row>
    <row r="130">
      <c r="A130" s="1">
        <f>+A129+1</f>
        <v/>
      </c>
      <c r="B130" s="563">
        <f t="array" ref="B130">IFERROR(INDEX(_xlfn._xlws.FILTER(INDIRECT(B$1&amp;"!$E1:$E10000"),INDIRECT(B$1&amp;"!$a1:$a10000")=汇总!$A130),COUNTIF(INDIRECT(B$1&amp;"!$a1:$a10000"),汇总!$A130)),B129)</f>
        <v/>
      </c>
      <c r="C130" s="563">
        <f t="array" ref="C130">IFERROR(INDEX(_xlfn._xlws.FILTER(INDIRECT(C$1&amp;"!$E1:$E10000"),INDIRECT(C$1&amp;"!$a1:$a10000")=汇总!$A130),COUNTIF(INDIRECT(C$1&amp;"!$a1:$a10000"),汇总!$A130)),C129)</f>
        <v/>
      </c>
      <c r="D130" s="563">
        <f t="array" ref="D130">IFERROR(INDEX(_xlfn._xlws.FILTER(INDIRECT(D$1&amp;"!$E1:$E10000"),INDIRECT(D$1&amp;"!$a1:$a10000")=汇总!$A130),COUNTIF(INDIRECT(D$1&amp;"!$a1:$a10000"),汇总!$A130)),D129)</f>
        <v/>
      </c>
      <c r="E130" s="563">
        <f t="array" ref="E130">IFERROR(INDEX(_xlfn._xlws.FILTER(INDIRECT(E$1&amp;"!$E1:$E10000"),INDIRECT(E$1&amp;"!$a1:$a10000")=汇总!$A130),COUNTIF(INDIRECT(E$1&amp;"!$a1:$a10000"),汇总!$A130)),E129)</f>
        <v/>
      </c>
      <c r="F130" s="563">
        <f t="array" ref="F130">IFERROR(INDEX(_xlfn._xlws.FILTER(INDIRECT(F$1&amp;"!$E1:$E10000"),INDIRECT(F$1&amp;"!$a1:$a10000")=汇总!$A130),COUNTIF(INDIRECT(F$1&amp;"!$a1:$a10000"),汇总!$A130)),F129)</f>
        <v/>
      </c>
      <c r="G130" s="563">
        <f t="array" ref="G130">IFERROR(INDEX(_xlfn._xlws.FILTER(INDIRECT(G$1&amp;"!$E1:$E10000"),INDIRECT(G$1&amp;"!$a1:$a10000")=汇总!$A130),COUNTIF(INDIRECT(G$1&amp;"!$a1:$a10000"),汇总!$A130)),G129)</f>
        <v/>
      </c>
      <c r="H130" s="563">
        <f t="array" ref="H130">IFERROR(INDEX(_xlfn._xlws.FILTER(INDIRECT(H$1&amp;"!$E1:$E10000"),INDIRECT(H$1&amp;"!$a1:$a10000")=汇总!$A130),COUNTIF(INDIRECT(H$1&amp;"!$a1:$a10000"),汇总!$A130)),H129)</f>
        <v/>
      </c>
      <c r="I130" s="563">
        <f t="array" ref="I130">IFERROR(INDEX(_xlfn._xlws.FILTER(INDIRECT(I$1&amp;"!$E1:$E10000"),INDIRECT(I$1&amp;"!$a1:$a10000")=汇总!$A130),COUNTIF(INDIRECT(I$1&amp;"!$a1:$a10000"),汇总!$A130)),I129)</f>
        <v/>
      </c>
      <c r="J130" s="563">
        <f t="array" ref="J130">IFERROR(INDEX(_xlfn._xlws.FILTER(INDIRECT(J$1&amp;"!$E1:$E10000"),INDIRECT(J$1&amp;"!$a1:$a10000")=汇总!$A130),COUNTIF(INDIRECT(J$1&amp;"!$a1:$a10000"),汇总!$A130)),J129)</f>
        <v/>
      </c>
      <c r="K130" s="563">
        <f t="array" ref="K130">IFERROR(INDEX(_xlfn._xlws.FILTER(INDIRECT(K$1&amp;"!$E1:$E10000"),INDIRECT(K$1&amp;"!$a1:$a10000")=汇总!$A130),COUNTIF(INDIRECT(K$1&amp;"!$a1:$a10000"),汇总!$A130)),K129)</f>
        <v/>
      </c>
      <c r="L130" s="563">
        <f t="array" ref="L130">IFERROR(INDEX(_xlfn._xlws.FILTER(INDIRECT(L$1&amp;"!$E1:$E10000"),INDIRECT(L$1&amp;"!$a1:$a10000")=汇总!$A130),COUNTIF(INDIRECT(L$1&amp;"!$a1:$a10000"),汇总!$A130)),L129)</f>
        <v/>
      </c>
      <c r="M130" s="563">
        <f t="array" ref="M130">IFERROR(INDEX(_xlfn._xlws.FILTER(INDIRECT(M$1&amp;"!$E1:$E10000"),INDIRECT(M$1&amp;"!$a1:$a10000")=汇总!$A130),COUNTIF(INDIRECT(M$1&amp;"!$a1:$a10000"),汇总!$A130)),M129)</f>
        <v/>
      </c>
      <c r="N130" s="563">
        <f t="array" ref="N130">IFERROR(INDEX(_xlfn._xlws.FILTER(INDIRECT(N$1&amp;"!$E1:$E10000"),INDIRECT(N$1&amp;"!$a1:$a10000")=汇总!$A130),COUNTIF(INDIRECT(N$1&amp;"!$a1:$a10000"),汇总!$A130)),N129)</f>
        <v/>
      </c>
      <c r="O130" s="563">
        <f t="array" ref="O130">IFERROR(INDEX(_xlfn._xlws.FILTER(INDIRECT(O$1&amp;"!$E1:$E10000"),INDIRECT(O$1&amp;"!$a1:$a10000")=汇总!$A130),COUNTIF(INDIRECT(O$1&amp;"!$a1:$a10000"),汇总!$A130)),O129)</f>
        <v/>
      </c>
      <c r="P130" s="563">
        <f t="array" ref="P130">IFERROR(INDEX(_xlfn._xlws.FILTER(INDIRECT(P$1&amp;"!$E1:$E10000"),INDIRECT(P$1&amp;"!$a1:$a10000")=汇总!$A130),COUNTIF(INDIRECT(P$1&amp;"!$a1:$a10000"),汇总!$A130)),P129)</f>
        <v/>
      </c>
      <c r="Q130" s="563">
        <f t="array" ref="Q130">IFERROR(INDEX(_xlfn._xlws.FILTER(INDIRECT(Q$1&amp;"!$E1:$E10000"),INDIRECT(Q$1&amp;"!$a1:$a10000")=汇总!$A130),COUNTIF(INDIRECT(Q$1&amp;"!$a1:$a10000"),汇总!$A130)),Q129)</f>
        <v/>
      </c>
      <c r="R130" s="563">
        <f t="array" ref="R130">IFERROR(INDEX(_xlfn._xlws.FILTER(INDIRECT(R$1&amp;"!$E1:$E10000"),INDIRECT(R$1&amp;"!$a1:$a10000")=汇总!$A130),COUNTIF(INDIRECT(R$1&amp;"!$a1:$a10000"),汇总!$A130)),R129)</f>
        <v/>
      </c>
      <c r="S130" s="563">
        <f t="array" ref="S130">IFERROR(INDEX(_xlfn._xlws.FILTER(INDIRECT(S$1&amp;"!$E1:$E10000"),INDIRECT(S$1&amp;"!$a1:$a10000")=汇总!$A130),COUNTIF(INDIRECT(S$1&amp;"!$a1:$a10000"),汇总!$A130)),S129)</f>
        <v/>
      </c>
      <c r="T130" s="563">
        <f t="array" ref="T130">IFERROR(INDEX(_xlfn._xlws.FILTER(INDIRECT(T$1&amp;"!$E1:$E10000"),INDIRECT(T$1&amp;"!$a1:$a10000")=汇总!$A130),COUNTIF(INDIRECT(T$1&amp;"!$a1:$a10000"),汇总!$A130)),T129)</f>
        <v/>
      </c>
    </row>
    <row r="131">
      <c r="A131" s="1">
        <f>+A130+1</f>
        <v/>
      </c>
      <c r="B131" s="563">
        <f t="array" ref="B131">IFERROR(INDEX(_xlfn._xlws.FILTER(INDIRECT(B$1&amp;"!$E1:$E10000"),INDIRECT(B$1&amp;"!$a1:$a10000")=汇总!$A131),COUNTIF(INDIRECT(B$1&amp;"!$a1:$a10000"),汇总!$A131)),B130)</f>
        <v/>
      </c>
      <c r="C131" s="563">
        <f t="array" ref="C131">IFERROR(INDEX(_xlfn._xlws.FILTER(INDIRECT(C$1&amp;"!$E1:$E10000"),INDIRECT(C$1&amp;"!$a1:$a10000")=汇总!$A131),COUNTIF(INDIRECT(C$1&amp;"!$a1:$a10000"),汇总!$A131)),C130)</f>
        <v/>
      </c>
      <c r="D131" s="563">
        <f t="array" ref="D131">IFERROR(INDEX(_xlfn._xlws.FILTER(INDIRECT(D$1&amp;"!$E1:$E10000"),INDIRECT(D$1&amp;"!$a1:$a10000")=汇总!$A131),COUNTIF(INDIRECT(D$1&amp;"!$a1:$a10000"),汇总!$A131)),D130)</f>
        <v/>
      </c>
      <c r="E131" s="563">
        <f t="array" ref="E131">IFERROR(INDEX(_xlfn._xlws.FILTER(INDIRECT(E$1&amp;"!$E1:$E10000"),INDIRECT(E$1&amp;"!$a1:$a10000")=汇总!$A131),COUNTIF(INDIRECT(E$1&amp;"!$a1:$a10000"),汇总!$A131)),E130)</f>
        <v/>
      </c>
      <c r="F131" s="563">
        <f t="array" ref="F131">IFERROR(INDEX(_xlfn._xlws.FILTER(INDIRECT(F$1&amp;"!$E1:$E10000"),INDIRECT(F$1&amp;"!$a1:$a10000")=汇总!$A131),COUNTIF(INDIRECT(F$1&amp;"!$a1:$a10000"),汇总!$A131)),F130)</f>
        <v/>
      </c>
      <c r="G131" s="563">
        <f t="array" ref="G131">IFERROR(INDEX(_xlfn._xlws.FILTER(INDIRECT(G$1&amp;"!$E1:$E10000"),INDIRECT(G$1&amp;"!$a1:$a10000")=汇总!$A131),COUNTIF(INDIRECT(G$1&amp;"!$a1:$a10000"),汇总!$A131)),G130)</f>
        <v/>
      </c>
      <c r="H131" s="563">
        <f t="array" ref="H131">IFERROR(INDEX(_xlfn._xlws.FILTER(INDIRECT(H$1&amp;"!$E1:$E10000"),INDIRECT(H$1&amp;"!$a1:$a10000")=汇总!$A131),COUNTIF(INDIRECT(H$1&amp;"!$a1:$a10000"),汇总!$A131)),H130)</f>
        <v/>
      </c>
      <c r="I131" s="563">
        <f t="array" ref="I131">IFERROR(INDEX(_xlfn._xlws.FILTER(INDIRECT(I$1&amp;"!$E1:$E10000"),INDIRECT(I$1&amp;"!$a1:$a10000")=汇总!$A131),COUNTIF(INDIRECT(I$1&amp;"!$a1:$a10000"),汇总!$A131)),I130)</f>
        <v/>
      </c>
      <c r="J131" s="563">
        <f t="array" ref="J131">IFERROR(INDEX(_xlfn._xlws.FILTER(INDIRECT(J$1&amp;"!$E1:$E10000"),INDIRECT(J$1&amp;"!$a1:$a10000")=汇总!$A131),COUNTIF(INDIRECT(J$1&amp;"!$a1:$a10000"),汇总!$A131)),J130)</f>
        <v/>
      </c>
      <c r="K131" s="563">
        <f t="array" ref="K131">IFERROR(INDEX(_xlfn._xlws.FILTER(INDIRECT(K$1&amp;"!$E1:$E10000"),INDIRECT(K$1&amp;"!$a1:$a10000")=汇总!$A131),COUNTIF(INDIRECT(K$1&amp;"!$a1:$a10000"),汇总!$A131)),K130)</f>
        <v/>
      </c>
      <c r="L131" s="563">
        <f t="array" ref="L131">IFERROR(INDEX(_xlfn._xlws.FILTER(INDIRECT(L$1&amp;"!$E1:$E10000"),INDIRECT(L$1&amp;"!$a1:$a10000")=汇总!$A131),COUNTIF(INDIRECT(L$1&amp;"!$a1:$a10000"),汇总!$A131)),L130)</f>
        <v/>
      </c>
      <c r="M131" s="563">
        <f t="array" ref="M131">IFERROR(INDEX(_xlfn._xlws.FILTER(INDIRECT(M$1&amp;"!$E1:$E10000"),INDIRECT(M$1&amp;"!$a1:$a10000")=汇总!$A131),COUNTIF(INDIRECT(M$1&amp;"!$a1:$a10000"),汇总!$A131)),M130)</f>
        <v/>
      </c>
      <c r="N131" s="563">
        <f t="array" ref="N131">IFERROR(INDEX(_xlfn._xlws.FILTER(INDIRECT(N$1&amp;"!$E1:$E10000"),INDIRECT(N$1&amp;"!$a1:$a10000")=汇总!$A131),COUNTIF(INDIRECT(N$1&amp;"!$a1:$a10000"),汇总!$A131)),N130)</f>
        <v/>
      </c>
      <c r="O131" s="563">
        <f t="array" ref="O131">IFERROR(INDEX(_xlfn._xlws.FILTER(INDIRECT(O$1&amp;"!$E1:$E10000"),INDIRECT(O$1&amp;"!$a1:$a10000")=汇总!$A131),COUNTIF(INDIRECT(O$1&amp;"!$a1:$a10000"),汇总!$A131)),O130)</f>
        <v/>
      </c>
      <c r="P131" s="563">
        <f t="array" ref="P131">IFERROR(INDEX(_xlfn._xlws.FILTER(INDIRECT(P$1&amp;"!$E1:$E10000"),INDIRECT(P$1&amp;"!$a1:$a10000")=汇总!$A131),COUNTIF(INDIRECT(P$1&amp;"!$a1:$a10000"),汇总!$A131)),P130)</f>
        <v/>
      </c>
      <c r="Q131" s="563">
        <f t="array" ref="Q131">IFERROR(INDEX(_xlfn._xlws.FILTER(INDIRECT(Q$1&amp;"!$E1:$E10000"),INDIRECT(Q$1&amp;"!$a1:$a10000")=汇总!$A131),COUNTIF(INDIRECT(Q$1&amp;"!$a1:$a10000"),汇总!$A131)),Q130)</f>
        <v/>
      </c>
      <c r="R131" s="563">
        <f t="array" ref="R131">IFERROR(INDEX(_xlfn._xlws.FILTER(INDIRECT(R$1&amp;"!$E1:$E10000"),INDIRECT(R$1&amp;"!$a1:$a10000")=汇总!$A131),COUNTIF(INDIRECT(R$1&amp;"!$a1:$a10000"),汇总!$A131)),R130)</f>
        <v/>
      </c>
      <c r="S131" s="563">
        <f t="array" ref="S131">IFERROR(INDEX(_xlfn._xlws.FILTER(INDIRECT(S$1&amp;"!$E1:$E10000"),INDIRECT(S$1&amp;"!$a1:$a10000")=汇总!$A131),COUNTIF(INDIRECT(S$1&amp;"!$a1:$a10000"),汇总!$A131)),S130)</f>
        <v/>
      </c>
      <c r="T131" s="563">
        <f t="array" ref="T131">IFERROR(INDEX(_xlfn._xlws.FILTER(INDIRECT(T$1&amp;"!$E1:$E10000"),INDIRECT(T$1&amp;"!$a1:$a10000")=汇总!$A131),COUNTIF(INDIRECT(T$1&amp;"!$a1:$a10000"),汇总!$A131)),T130)</f>
        <v/>
      </c>
    </row>
    <row r="132">
      <c r="A132" s="1">
        <f>+A131+1</f>
        <v/>
      </c>
      <c r="B132" s="563">
        <f t="array" ref="B132">IFERROR(INDEX(_xlfn._xlws.FILTER(INDIRECT(B$1&amp;"!$E1:$E10000"),INDIRECT(B$1&amp;"!$a1:$a10000")=汇总!$A132),COUNTIF(INDIRECT(B$1&amp;"!$a1:$a10000"),汇总!$A132)),B131)</f>
        <v/>
      </c>
      <c r="C132" s="563">
        <f t="array" ref="C132">IFERROR(INDEX(_xlfn._xlws.FILTER(INDIRECT(C$1&amp;"!$E1:$E10000"),INDIRECT(C$1&amp;"!$a1:$a10000")=汇总!$A132),COUNTIF(INDIRECT(C$1&amp;"!$a1:$a10000"),汇总!$A132)),C131)</f>
        <v/>
      </c>
      <c r="D132" s="563">
        <f t="array" ref="D132">IFERROR(INDEX(_xlfn._xlws.FILTER(INDIRECT(D$1&amp;"!$E1:$E10000"),INDIRECT(D$1&amp;"!$a1:$a10000")=汇总!$A132),COUNTIF(INDIRECT(D$1&amp;"!$a1:$a10000"),汇总!$A132)),D131)</f>
        <v/>
      </c>
      <c r="E132" s="563">
        <f t="array" ref="E132">IFERROR(INDEX(_xlfn._xlws.FILTER(INDIRECT(E$1&amp;"!$E1:$E10000"),INDIRECT(E$1&amp;"!$a1:$a10000")=汇总!$A132),COUNTIF(INDIRECT(E$1&amp;"!$a1:$a10000"),汇总!$A132)),E131)</f>
        <v/>
      </c>
      <c r="F132" s="563">
        <f t="array" ref="F132">IFERROR(INDEX(_xlfn._xlws.FILTER(INDIRECT(F$1&amp;"!$E1:$E10000"),INDIRECT(F$1&amp;"!$a1:$a10000")=汇总!$A132),COUNTIF(INDIRECT(F$1&amp;"!$a1:$a10000"),汇总!$A132)),F131)</f>
        <v/>
      </c>
      <c r="G132" s="563">
        <f t="array" ref="G132">IFERROR(INDEX(_xlfn._xlws.FILTER(INDIRECT(G$1&amp;"!$E1:$E10000"),INDIRECT(G$1&amp;"!$a1:$a10000")=汇总!$A132),COUNTIF(INDIRECT(G$1&amp;"!$a1:$a10000"),汇总!$A132)),G131)</f>
        <v/>
      </c>
      <c r="H132" s="563">
        <f t="array" ref="H132">IFERROR(INDEX(_xlfn._xlws.FILTER(INDIRECT(H$1&amp;"!$E1:$E10000"),INDIRECT(H$1&amp;"!$a1:$a10000")=汇总!$A132),COUNTIF(INDIRECT(H$1&amp;"!$a1:$a10000"),汇总!$A132)),H131)</f>
        <v/>
      </c>
      <c r="I132" s="563">
        <f t="array" ref="I132">IFERROR(INDEX(_xlfn._xlws.FILTER(INDIRECT(I$1&amp;"!$E1:$E10000"),INDIRECT(I$1&amp;"!$a1:$a10000")=汇总!$A132),COUNTIF(INDIRECT(I$1&amp;"!$a1:$a10000"),汇总!$A132)),I131)</f>
        <v/>
      </c>
      <c r="J132" s="563">
        <f t="array" ref="J132">IFERROR(INDEX(_xlfn._xlws.FILTER(INDIRECT(J$1&amp;"!$E1:$E10000"),INDIRECT(J$1&amp;"!$a1:$a10000")=汇总!$A132),COUNTIF(INDIRECT(J$1&amp;"!$a1:$a10000"),汇总!$A132)),J131)</f>
        <v/>
      </c>
      <c r="K132" s="563">
        <f t="array" ref="K132">IFERROR(INDEX(_xlfn._xlws.FILTER(INDIRECT(K$1&amp;"!$E1:$E10000"),INDIRECT(K$1&amp;"!$a1:$a10000")=汇总!$A132),COUNTIF(INDIRECT(K$1&amp;"!$a1:$a10000"),汇总!$A132)),K131)</f>
        <v/>
      </c>
      <c r="L132" s="563">
        <f t="array" ref="L132">IFERROR(INDEX(_xlfn._xlws.FILTER(INDIRECT(L$1&amp;"!$E1:$E10000"),INDIRECT(L$1&amp;"!$a1:$a10000")=汇总!$A132),COUNTIF(INDIRECT(L$1&amp;"!$a1:$a10000"),汇总!$A132)),L131)</f>
        <v/>
      </c>
      <c r="M132" s="563">
        <f t="array" ref="M132">IFERROR(INDEX(_xlfn._xlws.FILTER(INDIRECT(M$1&amp;"!$E1:$E10000"),INDIRECT(M$1&amp;"!$a1:$a10000")=汇总!$A132),COUNTIF(INDIRECT(M$1&amp;"!$a1:$a10000"),汇总!$A132)),M131)</f>
        <v/>
      </c>
      <c r="N132" s="563">
        <f t="array" ref="N132">IFERROR(INDEX(_xlfn._xlws.FILTER(INDIRECT(N$1&amp;"!$E1:$E10000"),INDIRECT(N$1&amp;"!$a1:$a10000")=汇总!$A132),COUNTIF(INDIRECT(N$1&amp;"!$a1:$a10000"),汇总!$A132)),N131)</f>
        <v/>
      </c>
      <c r="O132" s="563">
        <f t="array" ref="O132">IFERROR(INDEX(_xlfn._xlws.FILTER(INDIRECT(O$1&amp;"!$E1:$E10000"),INDIRECT(O$1&amp;"!$a1:$a10000")=汇总!$A132),COUNTIF(INDIRECT(O$1&amp;"!$a1:$a10000"),汇总!$A132)),O131)</f>
        <v/>
      </c>
      <c r="P132" s="563">
        <f t="array" ref="P132">IFERROR(INDEX(_xlfn._xlws.FILTER(INDIRECT(P$1&amp;"!$E1:$E10000"),INDIRECT(P$1&amp;"!$a1:$a10000")=汇总!$A132),COUNTIF(INDIRECT(P$1&amp;"!$a1:$a10000"),汇总!$A132)),P131)</f>
        <v/>
      </c>
      <c r="Q132" s="563">
        <f t="array" ref="Q132">IFERROR(INDEX(_xlfn._xlws.FILTER(INDIRECT(Q$1&amp;"!$E1:$E10000"),INDIRECT(Q$1&amp;"!$a1:$a10000")=汇总!$A132),COUNTIF(INDIRECT(Q$1&amp;"!$a1:$a10000"),汇总!$A132)),Q131)</f>
        <v/>
      </c>
      <c r="R132" s="563">
        <f t="array" ref="R132">IFERROR(INDEX(_xlfn._xlws.FILTER(INDIRECT(R$1&amp;"!$E1:$E10000"),INDIRECT(R$1&amp;"!$a1:$a10000")=汇总!$A132),COUNTIF(INDIRECT(R$1&amp;"!$a1:$a10000"),汇总!$A132)),R131)</f>
        <v/>
      </c>
      <c r="S132" s="563">
        <f t="array" ref="S132">IFERROR(INDEX(_xlfn._xlws.FILTER(INDIRECT(S$1&amp;"!$E1:$E10000"),INDIRECT(S$1&amp;"!$a1:$a10000")=汇总!$A132),COUNTIF(INDIRECT(S$1&amp;"!$a1:$a10000"),汇总!$A132)),S131)</f>
        <v/>
      </c>
      <c r="T132" s="563">
        <f t="array" ref="T132">IFERROR(INDEX(_xlfn._xlws.FILTER(INDIRECT(T$1&amp;"!$E1:$E10000"),INDIRECT(T$1&amp;"!$a1:$a10000")=汇总!$A132),COUNTIF(INDIRECT(T$1&amp;"!$a1:$a10000"),汇总!$A132)),T131)</f>
        <v/>
      </c>
    </row>
    <row r="133">
      <c r="A133" s="1">
        <f>+A132+1</f>
        <v/>
      </c>
      <c r="B133" s="563">
        <f t="array" ref="B133">IFERROR(INDEX(_xlfn._xlws.FILTER(INDIRECT(B$1&amp;"!$E1:$E10000"),INDIRECT(B$1&amp;"!$a1:$a10000")=汇总!$A133),COUNTIF(INDIRECT(B$1&amp;"!$a1:$a10000"),汇总!$A133)),B132)</f>
        <v/>
      </c>
      <c r="C133" s="563">
        <f t="array" ref="C133">IFERROR(INDEX(_xlfn._xlws.FILTER(INDIRECT(C$1&amp;"!$E1:$E10000"),INDIRECT(C$1&amp;"!$a1:$a10000")=汇总!$A133),COUNTIF(INDIRECT(C$1&amp;"!$a1:$a10000"),汇总!$A133)),C132)</f>
        <v/>
      </c>
      <c r="D133" s="563">
        <f t="array" ref="D133">IFERROR(INDEX(_xlfn._xlws.FILTER(INDIRECT(D$1&amp;"!$E1:$E10000"),INDIRECT(D$1&amp;"!$a1:$a10000")=汇总!$A133),COUNTIF(INDIRECT(D$1&amp;"!$a1:$a10000"),汇总!$A133)),D132)</f>
        <v/>
      </c>
      <c r="E133" s="563">
        <f t="array" ref="E133">IFERROR(INDEX(_xlfn._xlws.FILTER(INDIRECT(E$1&amp;"!$E1:$E10000"),INDIRECT(E$1&amp;"!$a1:$a10000")=汇总!$A133),COUNTIF(INDIRECT(E$1&amp;"!$a1:$a10000"),汇总!$A133)),E132)</f>
        <v/>
      </c>
      <c r="F133" s="563">
        <f t="array" ref="F133">IFERROR(INDEX(_xlfn._xlws.FILTER(INDIRECT(F$1&amp;"!$E1:$E10000"),INDIRECT(F$1&amp;"!$a1:$a10000")=汇总!$A133),COUNTIF(INDIRECT(F$1&amp;"!$a1:$a10000"),汇总!$A133)),F132)</f>
        <v/>
      </c>
      <c r="G133" s="563">
        <f t="array" ref="G133">IFERROR(INDEX(_xlfn._xlws.FILTER(INDIRECT(G$1&amp;"!$E1:$E10000"),INDIRECT(G$1&amp;"!$a1:$a10000")=汇总!$A133),COUNTIF(INDIRECT(G$1&amp;"!$a1:$a10000"),汇总!$A133)),G132)</f>
        <v/>
      </c>
      <c r="H133" s="563">
        <f t="array" ref="H133">IFERROR(INDEX(_xlfn._xlws.FILTER(INDIRECT(H$1&amp;"!$E1:$E10000"),INDIRECT(H$1&amp;"!$a1:$a10000")=汇总!$A133),COUNTIF(INDIRECT(H$1&amp;"!$a1:$a10000"),汇总!$A133)),H132)</f>
        <v/>
      </c>
      <c r="I133" s="563">
        <f t="array" ref="I133">IFERROR(INDEX(_xlfn._xlws.FILTER(INDIRECT(I$1&amp;"!$E1:$E10000"),INDIRECT(I$1&amp;"!$a1:$a10000")=汇总!$A133),COUNTIF(INDIRECT(I$1&amp;"!$a1:$a10000"),汇总!$A133)),I132)</f>
        <v/>
      </c>
      <c r="J133" s="563">
        <f t="array" ref="J133">IFERROR(INDEX(_xlfn._xlws.FILTER(INDIRECT(J$1&amp;"!$E1:$E10000"),INDIRECT(J$1&amp;"!$a1:$a10000")=汇总!$A133),COUNTIF(INDIRECT(J$1&amp;"!$a1:$a10000"),汇总!$A133)),J132)</f>
        <v/>
      </c>
      <c r="K133" s="563">
        <f t="array" ref="K133">IFERROR(INDEX(_xlfn._xlws.FILTER(INDIRECT(K$1&amp;"!$E1:$E10000"),INDIRECT(K$1&amp;"!$a1:$a10000")=汇总!$A133),COUNTIF(INDIRECT(K$1&amp;"!$a1:$a10000"),汇总!$A133)),K132)</f>
        <v/>
      </c>
      <c r="L133" s="563">
        <f t="array" ref="L133">IFERROR(INDEX(_xlfn._xlws.FILTER(INDIRECT(L$1&amp;"!$E1:$E10000"),INDIRECT(L$1&amp;"!$a1:$a10000")=汇总!$A133),COUNTIF(INDIRECT(L$1&amp;"!$a1:$a10000"),汇总!$A133)),L132)</f>
        <v/>
      </c>
      <c r="M133" s="563">
        <f t="array" ref="M133">IFERROR(INDEX(_xlfn._xlws.FILTER(INDIRECT(M$1&amp;"!$E1:$E10000"),INDIRECT(M$1&amp;"!$a1:$a10000")=汇总!$A133),COUNTIF(INDIRECT(M$1&amp;"!$a1:$a10000"),汇总!$A133)),M132)</f>
        <v/>
      </c>
      <c r="N133" s="563">
        <f t="array" ref="N133">IFERROR(INDEX(_xlfn._xlws.FILTER(INDIRECT(N$1&amp;"!$E1:$E10000"),INDIRECT(N$1&amp;"!$a1:$a10000")=汇总!$A133),COUNTIF(INDIRECT(N$1&amp;"!$a1:$a10000"),汇总!$A133)),N132)</f>
        <v/>
      </c>
      <c r="O133" s="563">
        <f t="array" ref="O133">IFERROR(INDEX(_xlfn._xlws.FILTER(INDIRECT(O$1&amp;"!$E1:$E10000"),INDIRECT(O$1&amp;"!$a1:$a10000")=汇总!$A133),COUNTIF(INDIRECT(O$1&amp;"!$a1:$a10000"),汇总!$A133)),O132)</f>
        <v/>
      </c>
      <c r="P133" s="563">
        <f t="array" ref="P133">IFERROR(INDEX(_xlfn._xlws.FILTER(INDIRECT(P$1&amp;"!$E1:$E10000"),INDIRECT(P$1&amp;"!$a1:$a10000")=汇总!$A133),COUNTIF(INDIRECT(P$1&amp;"!$a1:$a10000"),汇总!$A133)),P132)</f>
        <v/>
      </c>
      <c r="Q133" s="563">
        <f t="array" ref="Q133">IFERROR(INDEX(_xlfn._xlws.FILTER(INDIRECT(Q$1&amp;"!$E1:$E10000"),INDIRECT(Q$1&amp;"!$a1:$a10000")=汇总!$A133),COUNTIF(INDIRECT(Q$1&amp;"!$a1:$a10000"),汇总!$A133)),Q132)</f>
        <v/>
      </c>
      <c r="R133" s="563">
        <f t="array" ref="R133">IFERROR(INDEX(_xlfn._xlws.FILTER(INDIRECT(R$1&amp;"!$E1:$E10000"),INDIRECT(R$1&amp;"!$a1:$a10000")=汇总!$A133),COUNTIF(INDIRECT(R$1&amp;"!$a1:$a10000"),汇总!$A133)),R132)</f>
        <v/>
      </c>
      <c r="S133" s="563">
        <f t="array" ref="S133">IFERROR(INDEX(_xlfn._xlws.FILTER(INDIRECT(S$1&amp;"!$E1:$E10000"),INDIRECT(S$1&amp;"!$a1:$a10000")=汇总!$A133),COUNTIF(INDIRECT(S$1&amp;"!$a1:$a10000"),汇总!$A133)),S132)</f>
        <v/>
      </c>
      <c r="T133" s="563">
        <f t="array" ref="T133">IFERROR(INDEX(_xlfn._xlws.FILTER(INDIRECT(T$1&amp;"!$E1:$E10000"),INDIRECT(T$1&amp;"!$a1:$a10000")=汇总!$A133),COUNTIF(INDIRECT(T$1&amp;"!$a1:$a10000"),汇总!$A133)),T132)</f>
        <v/>
      </c>
    </row>
    <row r="134">
      <c r="A134" s="1">
        <f>+A133+1</f>
        <v/>
      </c>
      <c r="B134" s="563">
        <f t="array" ref="B134">IFERROR(INDEX(_xlfn._xlws.FILTER(INDIRECT(B$1&amp;"!$E1:$E10000"),INDIRECT(B$1&amp;"!$a1:$a10000")=汇总!$A134),COUNTIF(INDIRECT(B$1&amp;"!$a1:$a10000"),汇总!$A134)),B133)</f>
        <v/>
      </c>
      <c r="C134" s="563">
        <f t="array" ref="C134">IFERROR(INDEX(_xlfn._xlws.FILTER(INDIRECT(C$1&amp;"!$E1:$E10000"),INDIRECT(C$1&amp;"!$a1:$a10000")=汇总!$A134),COUNTIF(INDIRECT(C$1&amp;"!$a1:$a10000"),汇总!$A134)),C133)</f>
        <v/>
      </c>
      <c r="D134" s="563">
        <f t="array" ref="D134">IFERROR(INDEX(_xlfn._xlws.FILTER(INDIRECT(D$1&amp;"!$E1:$E10000"),INDIRECT(D$1&amp;"!$a1:$a10000")=汇总!$A134),COUNTIF(INDIRECT(D$1&amp;"!$a1:$a10000"),汇总!$A134)),D133)</f>
        <v/>
      </c>
      <c r="E134" s="563">
        <f t="array" ref="E134">IFERROR(INDEX(_xlfn._xlws.FILTER(INDIRECT(E$1&amp;"!$E1:$E10000"),INDIRECT(E$1&amp;"!$a1:$a10000")=汇总!$A134),COUNTIF(INDIRECT(E$1&amp;"!$a1:$a10000"),汇总!$A134)),E133)</f>
        <v/>
      </c>
      <c r="F134" s="563">
        <f t="array" ref="F134">IFERROR(INDEX(_xlfn._xlws.FILTER(INDIRECT(F$1&amp;"!$E1:$E10000"),INDIRECT(F$1&amp;"!$a1:$a10000")=汇总!$A134),COUNTIF(INDIRECT(F$1&amp;"!$a1:$a10000"),汇总!$A134)),F133)</f>
        <v/>
      </c>
      <c r="G134" s="563">
        <f t="array" ref="G134">IFERROR(INDEX(_xlfn._xlws.FILTER(INDIRECT(G$1&amp;"!$E1:$E10000"),INDIRECT(G$1&amp;"!$a1:$a10000")=汇总!$A134),COUNTIF(INDIRECT(G$1&amp;"!$a1:$a10000"),汇总!$A134)),G133)</f>
        <v/>
      </c>
      <c r="H134" s="563">
        <f t="array" ref="H134">IFERROR(INDEX(_xlfn._xlws.FILTER(INDIRECT(H$1&amp;"!$E1:$E10000"),INDIRECT(H$1&amp;"!$a1:$a10000")=汇总!$A134),COUNTIF(INDIRECT(H$1&amp;"!$a1:$a10000"),汇总!$A134)),H133)</f>
        <v/>
      </c>
      <c r="I134" s="563">
        <f t="array" ref="I134">IFERROR(INDEX(_xlfn._xlws.FILTER(INDIRECT(I$1&amp;"!$E1:$E10000"),INDIRECT(I$1&amp;"!$a1:$a10000")=汇总!$A134),COUNTIF(INDIRECT(I$1&amp;"!$a1:$a10000"),汇总!$A134)),I133)</f>
        <v/>
      </c>
      <c r="J134" s="563">
        <f t="array" ref="J134">IFERROR(INDEX(_xlfn._xlws.FILTER(INDIRECT(J$1&amp;"!$E1:$E10000"),INDIRECT(J$1&amp;"!$a1:$a10000")=汇总!$A134),COUNTIF(INDIRECT(J$1&amp;"!$a1:$a10000"),汇总!$A134)),J133)</f>
        <v/>
      </c>
      <c r="K134" s="563">
        <f t="array" ref="K134">IFERROR(INDEX(_xlfn._xlws.FILTER(INDIRECT(K$1&amp;"!$E1:$E10000"),INDIRECT(K$1&amp;"!$a1:$a10000")=汇总!$A134),COUNTIF(INDIRECT(K$1&amp;"!$a1:$a10000"),汇总!$A134)),K133)</f>
        <v/>
      </c>
      <c r="L134" s="563">
        <f t="array" ref="L134">IFERROR(INDEX(_xlfn._xlws.FILTER(INDIRECT(L$1&amp;"!$E1:$E10000"),INDIRECT(L$1&amp;"!$a1:$a10000")=汇总!$A134),COUNTIF(INDIRECT(L$1&amp;"!$a1:$a10000"),汇总!$A134)),L133)</f>
        <v/>
      </c>
      <c r="M134" s="563">
        <f t="array" ref="M134">IFERROR(INDEX(_xlfn._xlws.FILTER(INDIRECT(M$1&amp;"!$E1:$E10000"),INDIRECT(M$1&amp;"!$a1:$a10000")=汇总!$A134),COUNTIF(INDIRECT(M$1&amp;"!$a1:$a10000"),汇总!$A134)),M133)</f>
        <v/>
      </c>
      <c r="N134" s="563">
        <f t="array" ref="N134">IFERROR(INDEX(_xlfn._xlws.FILTER(INDIRECT(N$1&amp;"!$E1:$E10000"),INDIRECT(N$1&amp;"!$a1:$a10000")=汇总!$A134),COUNTIF(INDIRECT(N$1&amp;"!$a1:$a10000"),汇总!$A134)),N133)</f>
        <v/>
      </c>
      <c r="O134" s="563">
        <f t="array" ref="O134">IFERROR(INDEX(_xlfn._xlws.FILTER(INDIRECT(O$1&amp;"!$E1:$E10000"),INDIRECT(O$1&amp;"!$a1:$a10000")=汇总!$A134),COUNTIF(INDIRECT(O$1&amp;"!$a1:$a10000"),汇总!$A134)),O133)</f>
        <v/>
      </c>
      <c r="P134" s="563">
        <f t="array" ref="P134">IFERROR(INDEX(_xlfn._xlws.FILTER(INDIRECT(P$1&amp;"!$E1:$E10000"),INDIRECT(P$1&amp;"!$a1:$a10000")=汇总!$A134),COUNTIF(INDIRECT(P$1&amp;"!$a1:$a10000"),汇总!$A134)),P133)</f>
        <v/>
      </c>
      <c r="Q134" s="563">
        <f t="array" ref="Q134">IFERROR(INDEX(_xlfn._xlws.FILTER(INDIRECT(Q$1&amp;"!$E1:$E10000"),INDIRECT(Q$1&amp;"!$a1:$a10000")=汇总!$A134),COUNTIF(INDIRECT(Q$1&amp;"!$a1:$a10000"),汇总!$A134)),Q133)</f>
        <v/>
      </c>
      <c r="R134" s="563">
        <f t="array" ref="R134">IFERROR(INDEX(_xlfn._xlws.FILTER(INDIRECT(R$1&amp;"!$E1:$E10000"),INDIRECT(R$1&amp;"!$a1:$a10000")=汇总!$A134),COUNTIF(INDIRECT(R$1&amp;"!$a1:$a10000"),汇总!$A134)),R133)</f>
        <v/>
      </c>
      <c r="S134" s="563">
        <f t="array" ref="S134">IFERROR(INDEX(_xlfn._xlws.FILTER(INDIRECT(S$1&amp;"!$E1:$E10000"),INDIRECT(S$1&amp;"!$a1:$a10000")=汇总!$A134),COUNTIF(INDIRECT(S$1&amp;"!$a1:$a10000"),汇总!$A134)),S133)</f>
        <v/>
      </c>
      <c r="T134" s="563">
        <f t="array" ref="T134">IFERROR(INDEX(_xlfn._xlws.FILTER(INDIRECT(T$1&amp;"!$E1:$E10000"),INDIRECT(T$1&amp;"!$a1:$a10000")=汇总!$A134),COUNTIF(INDIRECT(T$1&amp;"!$a1:$a10000"),汇总!$A134)),T133)</f>
        <v/>
      </c>
    </row>
    <row r="135">
      <c r="A135" s="1">
        <f>+A134+1</f>
        <v/>
      </c>
      <c r="B135" s="563">
        <f t="array" ref="B135">IFERROR(INDEX(_xlfn._xlws.FILTER(INDIRECT(B$1&amp;"!$E1:$E10000"),INDIRECT(B$1&amp;"!$a1:$a10000")=汇总!$A135),COUNTIF(INDIRECT(B$1&amp;"!$a1:$a10000"),汇总!$A135)),B134)</f>
        <v/>
      </c>
      <c r="C135" s="563">
        <f t="array" ref="C135">IFERROR(INDEX(_xlfn._xlws.FILTER(INDIRECT(C$1&amp;"!$E1:$E10000"),INDIRECT(C$1&amp;"!$a1:$a10000")=汇总!$A135),COUNTIF(INDIRECT(C$1&amp;"!$a1:$a10000"),汇总!$A135)),C134)</f>
        <v/>
      </c>
      <c r="D135" s="563">
        <f t="array" ref="D135">IFERROR(INDEX(_xlfn._xlws.FILTER(INDIRECT(D$1&amp;"!$E1:$E10000"),INDIRECT(D$1&amp;"!$a1:$a10000")=汇总!$A135),COUNTIF(INDIRECT(D$1&amp;"!$a1:$a10000"),汇总!$A135)),D134)</f>
        <v/>
      </c>
      <c r="E135" s="563">
        <f t="array" ref="E135">IFERROR(INDEX(_xlfn._xlws.FILTER(INDIRECT(E$1&amp;"!$E1:$E10000"),INDIRECT(E$1&amp;"!$a1:$a10000")=汇总!$A135),COUNTIF(INDIRECT(E$1&amp;"!$a1:$a10000"),汇总!$A135)),E134)</f>
        <v/>
      </c>
      <c r="F135" s="563">
        <f t="array" ref="F135">IFERROR(INDEX(_xlfn._xlws.FILTER(INDIRECT(F$1&amp;"!$E1:$E10000"),INDIRECT(F$1&amp;"!$a1:$a10000")=汇总!$A135),COUNTIF(INDIRECT(F$1&amp;"!$a1:$a10000"),汇总!$A135)),F134)</f>
        <v/>
      </c>
      <c r="G135" s="563">
        <f t="array" ref="G135">IFERROR(INDEX(_xlfn._xlws.FILTER(INDIRECT(G$1&amp;"!$E1:$E10000"),INDIRECT(G$1&amp;"!$a1:$a10000")=汇总!$A135),COUNTIF(INDIRECT(G$1&amp;"!$a1:$a10000"),汇总!$A135)),G134)</f>
        <v/>
      </c>
      <c r="H135" s="563">
        <f t="array" ref="H135">IFERROR(INDEX(_xlfn._xlws.FILTER(INDIRECT(H$1&amp;"!$E1:$E10000"),INDIRECT(H$1&amp;"!$a1:$a10000")=汇总!$A135),COUNTIF(INDIRECT(H$1&amp;"!$a1:$a10000"),汇总!$A135)),H134)</f>
        <v/>
      </c>
      <c r="I135" s="563">
        <f t="array" ref="I135">IFERROR(INDEX(_xlfn._xlws.FILTER(INDIRECT(I$1&amp;"!$E1:$E10000"),INDIRECT(I$1&amp;"!$a1:$a10000")=汇总!$A135),COUNTIF(INDIRECT(I$1&amp;"!$a1:$a10000"),汇总!$A135)),I134)</f>
        <v/>
      </c>
      <c r="J135" s="563">
        <f t="array" ref="J135">IFERROR(INDEX(_xlfn._xlws.FILTER(INDIRECT(J$1&amp;"!$E1:$E10000"),INDIRECT(J$1&amp;"!$a1:$a10000")=汇总!$A135),COUNTIF(INDIRECT(J$1&amp;"!$a1:$a10000"),汇总!$A135)),J134)</f>
        <v/>
      </c>
      <c r="K135" s="563">
        <f t="array" ref="K135">IFERROR(INDEX(_xlfn._xlws.FILTER(INDIRECT(K$1&amp;"!$E1:$E10000"),INDIRECT(K$1&amp;"!$a1:$a10000")=汇总!$A135),COUNTIF(INDIRECT(K$1&amp;"!$a1:$a10000"),汇总!$A135)),K134)</f>
        <v/>
      </c>
      <c r="L135" s="563">
        <f t="array" ref="L135">IFERROR(INDEX(_xlfn._xlws.FILTER(INDIRECT(L$1&amp;"!$E1:$E10000"),INDIRECT(L$1&amp;"!$a1:$a10000")=汇总!$A135),COUNTIF(INDIRECT(L$1&amp;"!$a1:$a10000"),汇总!$A135)),L134)</f>
        <v/>
      </c>
      <c r="M135" s="563">
        <f t="array" ref="M135">IFERROR(INDEX(_xlfn._xlws.FILTER(INDIRECT(M$1&amp;"!$E1:$E10000"),INDIRECT(M$1&amp;"!$a1:$a10000")=汇总!$A135),COUNTIF(INDIRECT(M$1&amp;"!$a1:$a10000"),汇总!$A135)),M134)</f>
        <v/>
      </c>
      <c r="N135" s="563">
        <f t="array" ref="N135">IFERROR(INDEX(_xlfn._xlws.FILTER(INDIRECT(N$1&amp;"!$E1:$E10000"),INDIRECT(N$1&amp;"!$a1:$a10000")=汇总!$A135),COUNTIF(INDIRECT(N$1&amp;"!$a1:$a10000"),汇总!$A135)),N134)</f>
        <v/>
      </c>
      <c r="O135" s="563">
        <f t="array" ref="O135">IFERROR(INDEX(_xlfn._xlws.FILTER(INDIRECT(O$1&amp;"!$E1:$E10000"),INDIRECT(O$1&amp;"!$a1:$a10000")=汇总!$A135),COUNTIF(INDIRECT(O$1&amp;"!$a1:$a10000"),汇总!$A135)),O134)</f>
        <v/>
      </c>
      <c r="P135" s="563">
        <f t="array" ref="P135">IFERROR(INDEX(_xlfn._xlws.FILTER(INDIRECT(P$1&amp;"!$E1:$E10000"),INDIRECT(P$1&amp;"!$a1:$a10000")=汇总!$A135),COUNTIF(INDIRECT(P$1&amp;"!$a1:$a10000"),汇总!$A135)),P134)</f>
        <v/>
      </c>
      <c r="Q135" s="563">
        <f t="array" ref="Q135">IFERROR(INDEX(_xlfn._xlws.FILTER(INDIRECT(Q$1&amp;"!$E1:$E10000"),INDIRECT(Q$1&amp;"!$a1:$a10000")=汇总!$A135),COUNTIF(INDIRECT(Q$1&amp;"!$a1:$a10000"),汇总!$A135)),Q134)</f>
        <v/>
      </c>
      <c r="R135" s="563">
        <f t="array" ref="R135">IFERROR(INDEX(_xlfn._xlws.FILTER(INDIRECT(R$1&amp;"!$E1:$E10000"),INDIRECT(R$1&amp;"!$a1:$a10000")=汇总!$A135),COUNTIF(INDIRECT(R$1&amp;"!$a1:$a10000"),汇总!$A135)),R134)</f>
        <v/>
      </c>
      <c r="S135" s="563">
        <f t="array" ref="S135">IFERROR(INDEX(_xlfn._xlws.FILTER(INDIRECT(S$1&amp;"!$E1:$E10000"),INDIRECT(S$1&amp;"!$a1:$a10000")=汇总!$A135),COUNTIF(INDIRECT(S$1&amp;"!$a1:$a10000"),汇总!$A135)),S134)</f>
        <v/>
      </c>
      <c r="T135" s="563">
        <f t="array" ref="T135">IFERROR(INDEX(_xlfn._xlws.FILTER(INDIRECT(T$1&amp;"!$E1:$E10000"),INDIRECT(T$1&amp;"!$a1:$a10000")=汇总!$A135),COUNTIF(INDIRECT(T$1&amp;"!$a1:$a10000"),汇总!$A135)),T134)</f>
        <v/>
      </c>
    </row>
    <row r="136">
      <c r="A136" s="1">
        <f>+A135+1</f>
        <v/>
      </c>
      <c r="B136" s="563">
        <f t="array" ref="B136">IFERROR(INDEX(_xlfn._xlws.FILTER(INDIRECT(B$1&amp;"!$E1:$E10000"),INDIRECT(B$1&amp;"!$a1:$a10000")=汇总!$A136),COUNTIF(INDIRECT(B$1&amp;"!$a1:$a10000"),汇总!$A136)),B135)</f>
        <v/>
      </c>
      <c r="C136" s="563">
        <f t="array" ref="C136">IFERROR(INDEX(_xlfn._xlws.FILTER(INDIRECT(C$1&amp;"!$E1:$E10000"),INDIRECT(C$1&amp;"!$a1:$a10000")=汇总!$A136),COUNTIF(INDIRECT(C$1&amp;"!$a1:$a10000"),汇总!$A136)),C135)</f>
        <v/>
      </c>
      <c r="D136" s="563">
        <f t="array" ref="D136">IFERROR(INDEX(_xlfn._xlws.FILTER(INDIRECT(D$1&amp;"!$E1:$E10000"),INDIRECT(D$1&amp;"!$a1:$a10000")=汇总!$A136),COUNTIF(INDIRECT(D$1&amp;"!$a1:$a10000"),汇总!$A136)),D135)</f>
        <v/>
      </c>
      <c r="E136" s="563">
        <f t="array" ref="E136">IFERROR(INDEX(_xlfn._xlws.FILTER(INDIRECT(E$1&amp;"!$E1:$E10000"),INDIRECT(E$1&amp;"!$a1:$a10000")=汇总!$A136),COUNTIF(INDIRECT(E$1&amp;"!$a1:$a10000"),汇总!$A136)),E135)</f>
        <v/>
      </c>
      <c r="F136" s="563">
        <f t="array" ref="F136">IFERROR(INDEX(_xlfn._xlws.FILTER(INDIRECT(F$1&amp;"!$E1:$E10000"),INDIRECT(F$1&amp;"!$a1:$a10000")=汇总!$A136),COUNTIF(INDIRECT(F$1&amp;"!$a1:$a10000"),汇总!$A136)),F135)</f>
        <v/>
      </c>
      <c r="G136" s="563">
        <f t="array" ref="G136">IFERROR(INDEX(_xlfn._xlws.FILTER(INDIRECT(G$1&amp;"!$E1:$E10000"),INDIRECT(G$1&amp;"!$a1:$a10000")=汇总!$A136),COUNTIF(INDIRECT(G$1&amp;"!$a1:$a10000"),汇总!$A136)),G135)</f>
        <v/>
      </c>
      <c r="H136" s="563">
        <f t="array" ref="H136">IFERROR(INDEX(_xlfn._xlws.FILTER(INDIRECT(H$1&amp;"!$E1:$E10000"),INDIRECT(H$1&amp;"!$a1:$a10000")=汇总!$A136),COUNTIF(INDIRECT(H$1&amp;"!$a1:$a10000"),汇总!$A136)),H135)</f>
        <v/>
      </c>
      <c r="I136" s="563">
        <f t="array" ref="I136">IFERROR(INDEX(_xlfn._xlws.FILTER(INDIRECT(I$1&amp;"!$E1:$E10000"),INDIRECT(I$1&amp;"!$a1:$a10000")=汇总!$A136),COUNTIF(INDIRECT(I$1&amp;"!$a1:$a10000"),汇总!$A136)),I135)</f>
        <v/>
      </c>
      <c r="J136" s="563">
        <f t="array" ref="J136">IFERROR(INDEX(_xlfn._xlws.FILTER(INDIRECT(J$1&amp;"!$E1:$E10000"),INDIRECT(J$1&amp;"!$a1:$a10000")=汇总!$A136),COUNTIF(INDIRECT(J$1&amp;"!$a1:$a10000"),汇总!$A136)),J135)</f>
        <v/>
      </c>
      <c r="K136" s="563">
        <f t="array" ref="K136">IFERROR(INDEX(_xlfn._xlws.FILTER(INDIRECT(K$1&amp;"!$E1:$E10000"),INDIRECT(K$1&amp;"!$a1:$a10000")=汇总!$A136),COUNTIF(INDIRECT(K$1&amp;"!$a1:$a10000"),汇总!$A136)),K135)</f>
        <v/>
      </c>
      <c r="L136" s="563">
        <f t="array" ref="L136">IFERROR(INDEX(_xlfn._xlws.FILTER(INDIRECT(L$1&amp;"!$E1:$E10000"),INDIRECT(L$1&amp;"!$a1:$a10000")=汇总!$A136),COUNTIF(INDIRECT(L$1&amp;"!$a1:$a10000"),汇总!$A136)),L135)</f>
        <v/>
      </c>
      <c r="M136" s="563">
        <f t="array" ref="M136">IFERROR(INDEX(_xlfn._xlws.FILTER(INDIRECT(M$1&amp;"!$E1:$E10000"),INDIRECT(M$1&amp;"!$a1:$a10000")=汇总!$A136),COUNTIF(INDIRECT(M$1&amp;"!$a1:$a10000"),汇总!$A136)),M135)</f>
        <v/>
      </c>
      <c r="N136" s="563">
        <f t="array" ref="N136">IFERROR(INDEX(_xlfn._xlws.FILTER(INDIRECT(N$1&amp;"!$E1:$E10000"),INDIRECT(N$1&amp;"!$a1:$a10000")=汇总!$A136),COUNTIF(INDIRECT(N$1&amp;"!$a1:$a10000"),汇总!$A136)),N135)</f>
        <v/>
      </c>
      <c r="O136" s="563">
        <f t="array" ref="O136">IFERROR(INDEX(_xlfn._xlws.FILTER(INDIRECT(O$1&amp;"!$E1:$E10000"),INDIRECT(O$1&amp;"!$a1:$a10000")=汇总!$A136),COUNTIF(INDIRECT(O$1&amp;"!$a1:$a10000"),汇总!$A136)),O135)</f>
        <v/>
      </c>
      <c r="P136" s="563">
        <f t="array" ref="P136">IFERROR(INDEX(_xlfn._xlws.FILTER(INDIRECT(P$1&amp;"!$E1:$E10000"),INDIRECT(P$1&amp;"!$a1:$a10000")=汇总!$A136),COUNTIF(INDIRECT(P$1&amp;"!$a1:$a10000"),汇总!$A136)),P135)</f>
        <v/>
      </c>
      <c r="Q136" s="563">
        <f t="array" ref="Q136">IFERROR(INDEX(_xlfn._xlws.FILTER(INDIRECT(Q$1&amp;"!$E1:$E10000"),INDIRECT(Q$1&amp;"!$a1:$a10000")=汇总!$A136),COUNTIF(INDIRECT(Q$1&amp;"!$a1:$a10000"),汇总!$A136)),Q135)</f>
        <v/>
      </c>
      <c r="R136" s="563">
        <f t="array" ref="R136">IFERROR(INDEX(_xlfn._xlws.FILTER(INDIRECT(R$1&amp;"!$E1:$E10000"),INDIRECT(R$1&amp;"!$a1:$a10000")=汇总!$A136),COUNTIF(INDIRECT(R$1&amp;"!$a1:$a10000"),汇总!$A136)),R135)</f>
        <v/>
      </c>
      <c r="S136" s="563">
        <f t="array" ref="S136">IFERROR(INDEX(_xlfn._xlws.FILTER(INDIRECT(S$1&amp;"!$E1:$E10000"),INDIRECT(S$1&amp;"!$a1:$a10000")=汇总!$A136),COUNTIF(INDIRECT(S$1&amp;"!$a1:$a10000"),汇总!$A136)),S135)</f>
        <v/>
      </c>
      <c r="T136" s="563">
        <f t="array" ref="T136">IFERROR(INDEX(_xlfn._xlws.FILTER(INDIRECT(T$1&amp;"!$E1:$E10000"),INDIRECT(T$1&amp;"!$a1:$a10000")=汇总!$A136),COUNTIF(INDIRECT(T$1&amp;"!$a1:$a10000"),汇总!$A136)),T135)</f>
        <v/>
      </c>
    </row>
    <row r="137">
      <c r="A137" s="1">
        <f>+A136+1</f>
        <v/>
      </c>
      <c r="B137" s="563">
        <f t="array" ref="B137">IFERROR(INDEX(_xlfn._xlws.FILTER(INDIRECT(B$1&amp;"!$E1:$E10000"),INDIRECT(B$1&amp;"!$a1:$a10000")=汇总!$A137),COUNTIF(INDIRECT(B$1&amp;"!$a1:$a10000"),汇总!$A137)),B136)</f>
        <v/>
      </c>
      <c r="C137" s="563">
        <f t="array" ref="C137">IFERROR(INDEX(_xlfn._xlws.FILTER(INDIRECT(C$1&amp;"!$E1:$E10000"),INDIRECT(C$1&amp;"!$a1:$a10000")=汇总!$A137),COUNTIF(INDIRECT(C$1&amp;"!$a1:$a10000"),汇总!$A137)),C136)</f>
        <v/>
      </c>
      <c r="D137" s="563">
        <f t="array" ref="D137">IFERROR(INDEX(_xlfn._xlws.FILTER(INDIRECT(D$1&amp;"!$E1:$E10000"),INDIRECT(D$1&amp;"!$a1:$a10000")=汇总!$A137),COUNTIF(INDIRECT(D$1&amp;"!$a1:$a10000"),汇总!$A137)),D136)</f>
        <v/>
      </c>
      <c r="E137" s="563">
        <f t="array" ref="E137">IFERROR(INDEX(_xlfn._xlws.FILTER(INDIRECT(E$1&amp;"!$E1:$E10000"),INDIRECT(E$1&amp;"!$a1:$a10000")=汇总!$A137),COUNTIF(INDIRECT(E$1&amp;"!$a1:$a10000"),汇总!$A137)),E136)</f>
        <v/>
      </c>
      <c r="F137" s="563">
        <f t="array" ref="F137">IFERROR(INDEX(_xlfn._xlws.FILTER(INDIRECT(F$1&amp;"!$E1:$E10000"),INDIRECT(F$1&amp;"!$a1:$a10000")=汇总!$A137),COUNTIF(INDIRECT(F$1&amp;"!$a1:$a10000"),汇总!$A137)),F136)</f>
        <v/>
      </c>
      <c r="G137" s="563">
        <f t="array" ref="G137">IFERROR(INDEX(_xlfn._xlws.FILTER(INDIRECT(G$1&amp;"!$E1:$E10000"),INDIRECT(G$1&amp;"!$a1:$a10000")=汇总!$A137),COUNTIF(INDIRECT(G$1&amp;"!$a1:$a10000"),汇总!$A137)),G136)</f>
        <v/>
      </c>
      <c r="H137" s="563">
        <f t="array" ref="H137">IFERROR(INDEX(_xlfn._xlws.FILTER(INDIRECT(H$1&amp;"!$E1:$E10000"),INDIRECT(H$1&amp;"!$a1:$a10000")=汇总!$A137),COUNTIF(INDIRECT(H$1&amp;"!$a1:$a10000"),汇总!$A137)),H136)</f>
        <v/>
      </c>
      <c r="I137" s="563">
        <f t="array" ref="I137">IFERROR(INDEX(_xlfn._xlws.FILTER(INDIRECT(I$1&amp;"!$E1:$E10000"),INDIRECT(I$1&amp;"!$a1:$a10000")=汇总!$A137),COUNTIF(INDIRECT(I$1&amp;"!$a1:$a10000"),汇总!$A137)),I136)</f>
        <v/>
      </c>
      <c r="J137" s="563">
        <f t="array" ref="J137">IFERROR(INDEX(_xlfn._xlws.FILTER(INDIRECT(J$1&amp;"!$E1:$E10000"),INDIRECT(J$1&amp;"!$a1:$a10000")=汇总!$A137),COUNTIF(INDIRECT(J$1&amp;"!$a1:$a10000"),汇总!$A137)),J136)</f>
        <v/>
      </c>
      <c r="K137" s="563">
        <f t="array" ref="K137">IFERROR(INDEX(_xlfn._xlws.FILTER(INDIRECT(K$1&amp;"!$E1:$E10000"),INDIRECT(K$1&amp;"!$a1:$a10000")=汇总!$A137),COUNTIF(INDIRECT(K$1&amp;"!$a1:$a10000"),汇总!$A137)),K136)</f>
        <v/>
      </c>
      <c r="L137" s="563">
        <f t="array" ref="L137">IFERROR(INDEX(_xlfn._xlws.FILTER(INDIRECT(L$1&amp;"!$E1:$E10000"),INDIRECT(L$1&amp;"!$a1:$a10000")=汇总!$A137),COUNTIF(INDIRECT(L$1&amp;"!$a1:$a10000"),汇总!$A137)),L136)</f>
        <v/>
      </c>
      <c r="M137" s="563">
        <f t="array" ref="M137">IFERROR(INDEX(_xlfn._xlws.FILTER(INDIRECT(M$1&amp;"!$E1:$E10000"),INDIRECT(M$1&amp;"!$a1:$a10000")=汇总!$A137),COUNTIF(INDIRECT(M$1&amp;"!$a1:$a10000"),汇总!$A137)),M136)</f>
        <v/>
      </c>
      <c r="N137" s="563">
        <f t="array" ref="N137">IFERROR(INDEX(_xlfn._xlws.FILTER(INDIRECT(N$1&amp;"!$E1:$E10000"),INDIRECT(N$1&amp;"!$a1:$a10000")=汇总!$A137),COUNTIF(INDIRECT(N$1&amp;"!$a1:$a10000"),汇总!$A137)),N136)</f>
        <v/>
      </c>
      <c r="O137" s="563">
        <f t="array" ref="O137">IFERROR(INDEX(_xlfn._xlws.FILTER(INDIRECT(O$1&amp;"!$E1:$E10000"),INDIRECT(O$1&amp;"!$a1:$a10000")=汇总!$A137),COUNTIF(INDIRECT(O$1&amp;"!$a1:$a10000"),汇总!$A137)),O136)</f>
        <v/>
      </c>
      <c r="P137" s="563">
        <f t="array" ref="P137">IFERROR(INDEX(_xlfn._xlws.FILTER(INDIRECT(P$1&amp;"!$E1:$E10000"),INDIRECT(P$1&amp;"!$a1:$a10000")=汇总!$A137),COUNTIF(INDIRECT(P$1&amp;"!$a1:$a10000"),汇总!$A137)),P136)</f>
        <v/>
      </c>
      <c r="Q137" s="563">
        <f t="array" ref="Q137">IFERROR(INDEX(_xlfn._xlws.FILTER(INDIRECT(Q$1&amp;"!$E1:$E10000"),INDIRECT(Q$1&amp;"!$a1:$a10000")=汇总!$A137),COUNTIF(INDIRECT(Q$1&amp;"!$a1:$a10000"),汇总!$A137)),Q136)</f>
        <v/>
      </c>
      <c r="R137" s="563">
        <f t="array" ref="R137">IFERROR(INDEX(_xlfn._xlws.FILTER(INDIRECT(R$1&amp;"!$E1:$E10000"),INDIRECT(R$1&amp;"!$a1:$a10000")=汇总!$A137),COUNTIF(INDIRECT(R$1&amp;"!$a1:$a10000"),汇总!$A137)),R136)</f>
        <v/>
      </c>
      <c r="S137" s="563">
        <f t="array" ref="S137">IFERROR(INDEX(_xlfn._xlws.FILTER(INDIRECT(S$1&amp;"!$E1:$E10000"),INDIRECT(S$1&amp;"!$a1:$a10000")=汇总!$A137),COUNTIF(INDIRECT(S$1&amp;"!$a1:$a10000"),汇总!$A137)),S136)</f>
        <v/>
      </c>
      <c r="T137" s="563">
        <f t="array" ref="T137">IFERROR(INDEX(_xlfn._xlws.FILTER(INDIRECT(T$1&amp;"!$E1:$E10000"),INDIRECT(T$1&amp;"!$a1:$a10000")=汇总!$A137),COUNTIF(INDIRECT(T$1&amp;"!$a1:$a10000"),汇总!$A137)),T136)</f>
        <v/>
      </c>
    </row>
    <row r="138">
      <c r="A138" s="1">
        <f>+A137+1</f>
        <v/>
      </c>
      <c r="B138" s="563">
        <f t="array" ref="B138">IFERROR(INDEX(_xlfn._xlws.FILTER(INDIRECT(B$1&amp;"!$E1:$E10000"),INDIRECT(B$1&amp;"!$a1:$a10000")=汇总!$A138),COUNTIF(INDIRECT(B$1&amp;"!$a1:$a10000"),汇总!$A138)),B137)</f>
        <v/>
      </c>
      <c r="C138" s="563">
        <f t="array" ref="C138">IFERROR(INDEX(_xlfn._xlws.FILTER(INDIRECT(C$1&amp;"!$E1:$E10000"),INDIRECT(C$1&amp;"!$a1:$a10000")=汇总!$A138),COUNTIF(INDIRECT(C$1&amp;"!$a1:$a10000"),汇总!$A138)),C137)</f>
        <v/>
      </c>
      <c r="D138" s="563">
        <f t="array" ref="D138">IFERROR(INDEX(_xlfn._xlws.FILTER(INDIRECT(D$1&amp;"!$E1:$E10000"),INDIRECT(D$1&amp;"!$a1:$a10000")=汇总!$A138),COUNTIF(INDIRECT(D$1&amp;"!$a1:$a10000"),汇总!$A138)),D137)</f>
        <v/>
      </c>
      <c r="E138" s="563">
        <f t="array" ref="E138">IFERROR(INDEX(_xlfn._xlws.FILTER(INDIRECT(E$1&amp;"!$E1:$E10000"),INDIRECT(E$1&amp;"!$a1:$a10000")=汇总!$A138),COUNTIF(INDIRECT(E$1&amp;"!$a1:$a10000"),汇总!$A138)),E137)</f>
        <v/>
      </c>
      <c r="F138" s="563">
        <f t="array" ref="F138">IFERROR(INDEX(_xlfn._xlws.FILTER(INDIRECT(F$1&amp;"!$E1:$E10000"),INDIRECT(F$1&amp;"!$a1:$a10000")=汇总!$A138),COUNTIF(INDIRECT(F$1&amp;"!$a1:$a10000"),汇总!$A138)),F137)</f>
        <v/>
      </c>
      <c r="G138" s="563">
        <f t="array" ref="G138">IFERROR(INDEX(_xlfn._xlws.FILTER(INDIRECT(G$1&amp;"!$E1:$E10000"),INDIRECT(G$1&amp;"!$a1:$a10000")=汇总!$A138),COUNTIF(INDIRECT(G$1&amp;"!$a1:$a10000"),汇总!$A138)),G137)</f>
        <v/>
      </c>
      <c r="H138" s="563">
        <f t="array" ref="H138">IFERROR(INDEX(_xlfn._xlws.FILTER(INDIRECT(H$1&amp;"!$E1:$E10000"),INDIRECT(H$1&amp;"!$a1:$a10000")=汇总!$A138),COUNTIF(INDIRECT(H$1&amp;"!$a1:$a10000"),汇总!$A138)),H137)</f>
        <v/>
      </c>
      <c r="I138" s="563">
        <f t="array" ref="I138">IFERROR(INDEX(_xlfn._xlws.FILTER(INDIRECT(I$1&amp;"!$E1:$E10000"),INDIRECT(I$1&amp;"!$a1:$a10000")=汇总!$A138),COUNTIF(INDIRECT(I$1&amp;"!$a1:$a10000"),汇总!$A138)),I137)</f>
        <v/>
      </c>
      <c r="J138" s="563">
        <f t="array" ref="J138">IFERROR(INDEX(_xlfn._xlws.FILTER(INDIRECT(J$1&amp;"!$E1:$E10000"),INDIRECT(J$1&amp;"!$a1:$a10000")=汇总!$A138),COUNTIF(INDIRECT(J$1&amp;"!$a1:$a10000"),汇总!$A138)),J137)</f>
        <v/>
      </c>
      <c r="K138" s="563">
        <f t="array" ref="K138">IFERROR(INDEX(_xlfn._xlws.FILTER(INDIRECT(K$1&amp;"!$E1:$E10000"),INDIRECT(K$1&amp;"!$a1:$a10000")=汇总!$A138),COUNTIF(INDIRECT(K$1&amp;"!$a1:$a10000"),汇总!$A138)),K137)</f>
        <v/>
      </c>
      <c r="L138" s="563">
        <f t="array" ref="L138">IFERROR(INDEX(_xlfn._xlws.FILTER(INDIRECT(L$1&amp;"!$E1:$E10000"),INDIRECT(L$1&amp;"!$a1:$a10000")=汇总!$A138),COUNTIF(INDIRECT(L$1&amp;"!$a1:$a10000"),汇总!$A138)),L137)</f>
        <v/>
      </c>
      <c r="M138" s="563">
        <f t="array" ref="M138">IFERROR(INDEX(_xlfn._xlws.FILTER(INDIRECT(M$1&amp;"!$E1:$E10000"),INDIRECT(M$1&amp;"!$a1:$a10000")=汇总!$A138),COUNTIF(INDIRECT(M$1&amp;"!$a1:$a10000"),汇总!$A138)),M137)</f>
        <v/>
      </c>
      <c r="N138" s="563">
        <f t="array" ref="N138">IFERROR(INDEX(_xlfn._xlws.FILTER(INDIRECT(N$1&amp;"!$E1:$E10000"),INDIRECT(N$1&amp;"!$a1:$a10000")=汇总!$A138),COUNTIF(INDIRECT(N$1&amp;"!$a1:$a10000"),汇总!$A138)),N137)</f>
        <v/>
      </c>
      <c r="O138" s="563">
        <f t="array" ref="O138">IFERROR(INDEX(_xlfn._xlws.FILTER(INDIRECT(O$1&amp;"!$E1:$E10000"),INDIRECT(O$1&amp;"!$a1:$a10000")=汇总!$A138),COUNTIF(INDIRECT(O$1&amp;"!$a1:$a10000"),汇总!$A138)),O137)</f>
        <v/>
      </c>
      <c r="P138" s="563">
        <f t="array" ref="P138">IFERROR(INDEX(_xlfn._xlws.FILTER(INDIRECT(P$1&amp;"!$E1:$E10000"),INDIRECT(P$1&amp;"!$a1:$a10000")=汇总!$A138),COUNTIF(INDIRECT(P$1&amp;"!$a1:$a10000"),汇总!$A138)),P137)</f>
        <v/>
      </c>
      <c r="Q138" s="563">
        <f t="array" ref="Q138">IFERROR(INDEX(_xlfn._xlws.FILTER(INDIRECT(Q$1&amp;"!$E1:$E10000"),INDIRECT(Q$1&amp;"!$a1:$a10000")=汇总!$A138),COUNTIF(INDIRECT(Q$1&amp;"!$a1:$a10000"),汇总!$A138)),Q137)</f>
        <v/>
      </c>
      <c r="R138" s="563">
        <f t="array" ref="R138">IFERROR(INDEX(_xlfn._xlws.FILTER(INDIRECT(R$1&amp;"!$E1:$E10000"),INDIRECT(R$1&amp;"!$a1:$a10000")=汇总!$A138),COUNTIF(INDIRECT(R$1&amp;"!$a1:$a10000"),汇总!$A138)),R137)</f>
        <v/>
      </c>
      <c r="S138" s="563">
        <f t="array" ref="S138">IFERROR(INDEX(_xlfn._xlws.FILTER(INDIRECT(S$1&amp;"!$E1:$E10000"),INDIRECT(S$1&amp;"!$a1:$a10000")=汇总!$A138),COUNTIF(INDIRECT(S$1&amp;"!$a1:$a10000"),汇总!$A138)),S137)</f>
        <v/>
      </c>
      <c r="T138" s="563">
        <f t="array" ref="T138">IFERROR(INDEX(_xlfn._xlws.FILTER(INDIRECT(T$1&amp;"!$E1:$E10000"),INDIRECT(T$1&amp;"!$a1:$a10000")=汇总!$A138),COUNTIF(INDIRECT(T$1&amp;"!$a1:$a10000"),汇总!$A138)),T137)</f>
        <v/>
      </c>
    </row>
    <row r="139">
      <c r="A139" s="1">
        <f>+A138+1</f>
        <v/>
      </c>
      <c r="B139" s="563">
        <f t="array" ref="B139">IFERROR(INDEX(_xlfn._xlws.FILTER(INDIRECT(B$1&amp;"!$E1:$E10000"),INDIRECT(B$1&amp;"!$a1:$a10000")=汇总!$A139),COUNTIF(INDIRECT(B$1&amp;"!$a1:$a10000"),汇总!$A139)),B138)</f>
        <v/>
      </c>
      <c r="C139" s="563">
        <f t="array" ref="C139">IFERROR(INDEX(_xlfn._xlws.FILTER(INDIRECT(C$1&amp;"!$E1:$E10000"),INDIRECT(C$1&amp;"!$a1:$a10000")=汇总!$A139),COUNTIF(INDIRECT(C$1&amp;"!$a1:$a10000"),汇总!$A139)),C138)</f>
        <v/>
      </c>
      <c r="D139" s="563">
        <f t="array" ref="D139">IFERROR(INDEX(_xlfn._xlws.FILTER(INDIRECT(D$1&amp;"!$E1:$E10000"),INDIRECT(D$1&amp;"!$a1:$a10000")=汇总!$A139),COUNTIF(INDIRECT(D$1&amp;"!$a1:$a10000"),汇总!$A139)),D138)</f>
        <v/>
      </c>
      <c r="E139" s="563">
        <f t="array" ref="E139">IFERROR(INDEX(_xlfn._xlws.FILTER(INDIRECT(E$1&amp;"!$E1:$E10000"),INDIRECT(E$1&amp;"!$a1:$a10000")=汇总!$A139),COUNTIF(INDIRECT(E$1&amp;"!$a1:$a10000"),汇总!$A139)),E138)</f>
        <v/>
      </c>
      <c r="F139" s="563">
        <f t="array" ref="F139">IFERROR(INDEX(_xlfn._xlws.FILTER(INDIRECT(F$1&amp;"!$E1:$E10000"),INDIRECT(F$1&amp;"!$a1:$a10000")=汇总!$A139),COUNTIF(INDIRECT(F$1&amp;"!$a1:$a10000"),汇总!$A139)),F138)</f>
        <v/>
      </c>
      <c r="G139" s="563">
        <f t="array" ref="G139">IFERROR(INDEX(_xlfn._xlws.FILTER(INDIRECT(G$1&amp;"!$E1:$E10000"),INDIRECT(G$1&amp;"!$a1:$a10000")=汇总!$A139),COUNTIF(INDIRECT(G$1&amp;"!$a1:$a10000"),汇总!$A139)),G138)</f>
        <v/>
      </c>
      <c r="H139" s="563">
        <f t="array" ref="H139">IFERROR(INDEX(_xlfn._xlws.FILTER(INDIRECT(H$1&amp;"!$E1:$E10000"),INDIRECT(H$1&amp;"!$a1:$a10000")=汇总!$A139),COUNTIF(INDIRECT(H$1&amp;"!$a1:$a10000"),汇总!$A139)),H138)</f>
        <v/>
      </c>
      <c r="I139" s="563">
        <f t="array" ref="I139">IFERROR(INDEX(_xlfn._xlws.FILTER(INDIRECT(I$1&amp;"!$E1:$E10000"),INDIRECT(I$1&amp;"!$a1:$a10000")=汇总!$A139),COUNTIF(INDIRECT(I$1&amp;"!$a1:$a10000"),汇总!$A139)),I138)</f>
        <v/>
      </c>
      <c r="J139" s="563">
        <f t="array" ref="J139">IFERROR(INDEX(_xlfn._xlws.FILTER(INDIRECT(J$1&amp;"!$E1:$E10000"),INDIRECT(J$1&amp;"!$a1:$a10000")=汇总!$A139),COUNTIF(INDIRECT(J$1&amp;"!$a1:$a10000"),汇总!$A139)),J138)</f>
        <v/>
      </c>
      <c r="K139" s="563">
        <f t="array" ref="K139">IFERROR(INDEX(_xlfn._xlws.FILTER(INDIRECT(K$1&amp;"!$E1:$E10000"),INDIRECT(K$1&amp;"!$a1:$a10000")=汇总!$A139),COUNTIF(INDIRECT(K$1&amp;"!$a1:$a10000"),汇总!$A139)),K138)</f>
        <v/>
      </c>
      <c r="L139" s="563">
        <f t="array" ref="L139">IFERROR(INDEX(_xlfn._xlws.FILTER(INDIRECT(L$1&amp;"!$E1:$E10000"),INDIRECT(L$1&amp;"!$a1:$a10000")=汇总!$A139),COUNTIF(INDIRECT(L$1&amp;"!$a1:$a10000"),汇总!$A139)),L138)</f>
        <v/>
      </c>
      <c r="M139" s="563">
        <f t="array" ref="M139">IFERROR(INDEX(_xlfn._xlws.FILTER(INDIRECT(M$1&amp;"!$E1:$E10000"),INDIRECT(M$1&amp;"!$a1:$a10000")=汇总!$A139),COUNTIF(INDIRECT(M$1&amp;"!$a1:$a10000"),汇总!$A139)),M138)</f>
        <v/>
      </c>
      <c r="N139" s="563">
        <f t="array" ref="N139">IFERROR(INDEX(_xlfn._xlws.FILTER(INDIRECT(N$1&amp;"!$E1:$E10000"),INDIRECT(N$1&amp;"!$a1:$a10000")=汇总!$A139),COUNTIF(INDIRECT(N$1&amp;"!$a1:$a10000"),汇总!$A139)),N138)</f>
        <v/>
      </c>
      <c r="O139" s="563">
        <f t="array" ref="O139">IFERROR(INDEX(_xlfn._xlws.FILTER(INDIRECT(O$1&amp;"!$E1:$E10000"),INDIRECT(O$1&amp;"!$a1:$a10000")=汇总!$A139),COUNTIF(INDIRECT(O$1&amp;"!$a1:$a10000"),汇总!$A139)),O138)</f>
        <v/>
      </c>
      <c r="P139" s="563">
        <f t="array" ref="P139">IFERROR(INDEX(_xlfn._xlws.FILTER(INDIRECT(P$1&amp;"!$E1:$E10000"),INDIRECT(P$1&amp;"!$a1:$a10000")=汇总!$A139),COUNTIF(INDIRECT(P$1&amp;"!$a1:$a10000"),汇总!$A139)),P138)</f>
        <v/>
      </c>
      <c r="Q139" s="563">
        <f t="array" ref="Q139">IFERROR(INDEX(_xlfn._xlws.FILTER(INDIRECT(Q$1&amp;"!$E1:$E10000"),INDIRECT(Q$1&amp;"!$a1:$a10000")=汇总!$A139),COUNTIF(INDIRECT(Q$1&amp;"!$a1:$a10000"),汇总!$A139)),Q138)</f>
        <v/>
      </c>
      <c r="R139" s="563">
        <f t="array" ref="R139">IFERROR(INDEX(_xlfn._xlws.FILTER(INDIRECT(R$1&amp;"!$E1:$E10000"),INDIRECT(R$1&amp;"!$a1:$a10000")=汇总!$A139),COUNTIF(INDIRECT(R$1&amp;"!$a1:$a10000"),汇总!$A139)),R138)</f>
        <v/>
      </c>
      <c r="S139" s="563">
        <f t="array" ref="S139">IFERROR(INDEX(_xlfn._xlws.FILTER(INDIRECT(S$1&amp;"!$E1:$E10000"),INDIRECT(S$1&amp;"!$a1:$a10000")=汇总!$A139),COUNTIF(INDIRECT(S$1&amp;"!$a1:$a10000"),汇总!$A139)),S138)</f>
        <v/>
      </c>
      <c r="T139" s="563">
        <f t="array" ref="T139">IFERROR(INDEX(_xlfn._xlws.FILTER(INDIRECT(T$1&amp;"!$E1:$E10000"),INDIRECT(T$1&amp;"!$a1:$a10000")=汇总!$A139),COUNTIF(INDIRECT(T$1&amp;"!$a1:$a10000"),汇总!$A139)),T138)</f>
        <v/>
      </c>
    </row>
    <row r="140">
      <c r="A140" s="1">
        <f>+A139+1</f>
        <v/>
      </c>
      <c r="B140" s="563">
        <f t="array" ref="B140">IFERROR(INDEX(_xlfn._xlws.FILTER(INDIRECT(B$1&amp;"!$E1:$E10000"),INDIRECT(B$1&amp;"!$a1:$a10000")=汇总!$A140),COUNTIF(INDIRECT(B$1&amp;"!$a1:$a10000"),汇总!$A140)),B139)</f>
        <v/>
      </c>
      <c r="C140" s="563">
        <f t="array" ref="C140">IFERROR(INDEX(_xlfn._xlws.FILTER(INDIRECT(C$1&amp;"!$E1:$E10000"),INDIRECT(C$1&amp;"!$a1:$a10000")=汇总!$A140),COUNTIF(INDIRECT(C$1&amp;"!$a1:$a10000"),汇总!$A140)),C139)</f>
        <v/>
      </c>
      <c r="D140" s="563">
        <f t="array" ref="D140">IFERROR(INDEX(_xlfn._xlws.FILTER(INDIRECT(D$1&amp;"!$E1:$E10000"),INDIRECT(D$1&amp;"!$a1:$a10000")=汇总!$A140),COUNTIF(INDIRECT(D$1&amp;"!$a1:$a10000"),汇总!$A140)),D139)</f>
        <v/>
      </c>
      <c r="E140" s="563">
        <f t="array" ref="E140">IFERROR(INDEX(_xlfn._xlws.FILTER(INDIRECT(E$1&amp;"!$E1:$E10000"),INDIRECT(E$1&amp;"!$a1:$a10000")=汇总!$A140),COUNTIF(INDIRECT(E$1&amp;"!$a1:$a10000"),汇总!$A140)),E139)</f>
        <v/>
      </c>
      <c r="F140" s="563">
        <f t="array" ref="F140">IFERROR(INDEX(_xlfn._xlws.FILTER(INDIRECT(F$1&amp;"!$E1:$E10000"),INDIRECT(F$1&amp;"!$a1:$a10000")=汇总!$A140),COUNTIF(INDIRECT(F$1&amp;"!$a1:$a10000"),汇总!$A140)),F139)</f>
        <v/>
      </c>
      <c r="G140" s="563">
        <f t="array" ref="G140">IFERROR(INDEX(_xlfn._xlws.FILTER(INDIRECT(G$1&amp;"!$E1:$E10000"),INDIRECT(G$1&amp;"!$a1:$a10000")=汇总!$A140),COUNTIF(INDIRECT(G$1&amp;"!$a1:$a10000"),汇总!$A140)),G139)</f>
        <v/>
      </c>
      <c r="H140" s="563">
        <f t="array" ref="H140">IFERROR(INDEX(_xlfn._xlws.FILTER(INDIRECT(H$1&amp;"!$E1:$E10000"),INDIRECT(H$1&amp;"!$a1:$a10000")=汇总!$A140),COUNTIF(INDIRECT(H$1&amp;"!$a1:$a10000"),汇总!$A140)),H139)</f>
        <v/>
      </c>
      <c r="I140" s="563">
        <f t="array" ref="I140">IFERROR(INDEX(_xlfn._xlws.FILTER(INDIRECT(I$1&amp;"!$E1:$E10000"),INDIRECT(I$1&amp;"!$a1:$a10000")=汇总!$A140),COUNTIF(INDIRECT(I$1&amp;"!$a1:$a10000"),汇总!$A140)),I139)</f>
        <v/>
      </c>
      <c r="J140" s="563">
        <f t="array" ref="J140">IFERROR(INDEX(_xlfn._xlws.FILTER(INDIRECT(J$1&amp;"!$E1:$E10000"),INDIRECT(J$1&amp;"!$a1:$a10000")=汇总!$A140),COUNTIF(INDIRECT(J$1&amp;"!$a1:$a10000"),汇总!$A140)),J139)</f>
        <v/>
      </c>
      <c r="K140" s="563">
        <f t="array" ref="K140">IFERROR(INDEX(_xlfn._xlws.FILTER(INDIRECT(K$1&amp;"!$E1:$E10000"),INDIRECT(K$1&amp;"!$a1:$a10000")=汇总!$A140),COUNTIF(INDIRECT(K$1&amp;"!$a1:$a10000"),汇总!$A140)),K139)</f>
        <v/>
      </c>
      <c r="L140" s="563">
        <f t="array" ref="L140">IFERROR(INDEX(_xlfn._xlws.FILTER(INDIRECT(L$1&amp;"!$E1:$E10000"),INDIRECT(L$1&amp;"!$a1:$a10000")=汇总!$A140),COUNTIF(INDIRECT(L$1&amp;"!$a1:$a10000"),汇总!$A140)),L139)</f>
        <v/>
      </c>
      <c r="M140" s="563">
        <f t="array" ref="M140">IFERROR(INDEX(_xlfn._xlws.FILTER(INDIRECT(M$1&amp;"!$E1:$E10000"),INDIRECT(M$1&amp;"!$a1:$a10000")=汇总!$A140),COUNTIF(INDIRECT(M$1&amp;"!$a1:$a10000"),汇总!$A140)),M139)</f>
        <v/>
      </c>
      <c r="N140" s="563">
        <f t="array" ref="N140">IFERROR(INDEX(_xlfn._xlws.FILTER(INDIRECT(N$1&amp;"!$E1:$E10000"),INDIRECT(N$1&amp;"!$a1:$a10000")=汇总!$A140),COUNTIF(INDIRECT(N$1&amp;"!$a1:$a10000"),汇总!$A140)),N139)</f>
        <v/>
      </c>
      <c r="O140" s="563">
        <f t="array" ref="O140">IFERROR(INDEX(_xlfn._xlws.FILTER(INDIRECT(O$1&amp;"!$E1:$E10000"),INDIRECT(O$1&amp;"!$a1:$a10000")=汇总!$A140),COUNTIF(INDIRECT(O$1&amp;"!$a1:$a10000"),汇总!$A140)),O139)</f>
        <v/>
      </c>
      <c r="P140" s="563">
        <f t="array" ref="P140">IFERROR(INDEX(_xlfn._xlws.FILTER(INDIRECT(P$1&amp;"!$E1:$E10000"),INDIRECT(P$1&amp;"!$a1:$a10000")=汇总!$A140),COUNTIF(INDIRECT(P$1&amp;"!$a1:$a10000"),汇总!$A140)),P139)</f>
        <v/>
      </c>
      <c r="Q140" s="563">
        <f t="array" ref="Q140">IFERROR(INDEX(_xlfn._xlws.FILTER(INDIRECT(Q$1&amp;"!$E1:$E10000"),INDIRECT(Q$1&amp;"!$a1:$a10000")=汇总!$A140),COUNTIF(INDIRECT(Q$1&amp;"!$a1:$a10000"),汇总!$A140)),Q139)</f>
        <v/>
      </c>
      <c r="R140" s="563">
        <f t="array" ref="R140">IFERROR(INDEX(_xlfn._xlws.FILTER(INDIRECT(R$1&amp;"!$E1:$E10000"),INDIRECT(R$1&amp;"!$a1:$a10000")=汇总!$A140),COUNTIF(INDIRECT(R$1&amp;"!$a1:$a10000"),汇总!$A140)),R139)</f>
        <v/>
      </c>
      <c r="S140" s="563">
        <f t="array" ref="S140">IFERROR(INDEX(_xlfn._xlws.FILTER(INDIRECT(S$1&amp;"!$E1:$E10000"),INDIRECT(S$1&amp;"!$a1:$a10000")=汇总!$A140),COUNTIF(INDIRECT(S$1&amp;"!$a1:$a10000"),汇总!$A140)),S139)</f>
        <v/>
      </c>
      <c r="T140" s="563">
        <f t="array" ref="T140">IFERROR(INDEX(_xlfn._xlws.FILTER(INDIRECT(T$1&amp;"!$E1:$E10000"),INDIRECT(T$1&amp;"!$a1:$a10000")=汇总!$A140),COUNTIF(INDIRECT(T$1&amp;"!$a1:$a10000"),汇总!$A140)),T139)</f>
        <v/>
      </c>
    </row>
    <row r="141">
      <c r="A141" s="1">
        <f>+A140+1</f>
        <v/>
      </c>
      <c r="B141" s="563">
        <f t="array" ref="B141">IFERROR(INDEX(_xlfn._xlws.FILTER(INDIRECT(B$1&amp;"!$E1:$E10000"),INDIRECT(B$1&amp;"!$a1:$a10000")=汇总!$A141),COUNTIF(INDIRECT(B$1&amp;"!$a1:$a10000"),汇总!$A141)),B140)</f>
        <v/>
      </c>
      <c r="C141" s="563">
        <f t="array" ref="C141">IFERROR(INDEX(_xlfn._xlws.FILTER(INDIRECT(C$1&amp;"!$E1:$E10000"),INDIRECT(C$1&amp;"!$a1:$a10000")=汇总!$A141),COUNTIF(INDIRECT(C$1&amp;"!$a1:$a10000"),汇总!$A141)),C140)</f>
        <v/>
      </c>
      <c r="D141" s="563">
        <f t="array" ref="D141">IFERROR(INDEX(_xlfn._xlws.FILTER(INDIRECT(D$1&amp;"!$E1:$E10000"),INDIRECT(D$1&amp;"!$a1:$a10000")=汇总!$A141),COUNTIF(INDIRECT(D$1&amp;"!$a1:$a10000"),汇总!$A141)),D140)</f>
        <v/>
      </c>
      <c r="E141" s="563">
        <f t="array" ref="E141">IFERROR(INDEX(_xlfn._xlws.FILTER(INDIRECT(E$1&amp;"!$E1:$E10000"),INDIRECT(E$1&amp;"!$a1:$a10000")=汇总!$A141),COUNTIF(INDIRECT(E$1&amp;"!$a1:$a10000"),汇总!$A141)),E140)</f>
        <v/>
      </c>
      <c r="F141" s="563">
        <f t="array" ref="F141">IFERROR(INDEX(_xlfn._xlws.FILTER(INDIRECT(F$1&amp;"!$E1:$E10000"),INDIRECT(F$1&amp;"!$a1:$a10000")=汇总!$A141),COUNTIF(INDIRECT(F$1&amp;"!$a1:$a10000"),汇总!$A141)),F140)</f>
        <v/>
      </c>
      <c r="G141" s="563">
        <f t="array" ref="G141">IFERROR(INDEX(_xlfn._xlws.FILTER(INDIRECT(G$1&amp;"!$E1:$E10000"),INDIRECT(G$1&amp;"!$a1:$a10000")=汇总!$A141),COUNTIF(INDIRECT(G$1&amp;"!$a1:$a10000"),汇总!$A141)),G140)</f>
        <v/>
      </c>
      <c r="H141" s="563">
        <f t="array" ref="H141">IFERROR(INDEX(_xlfn._xlws.FILTER(INDIRECT(H$1&amp;"!$E1:$E10000"),INDIRECT(H$1&amp;"!$a1:$a10000")=汇总!$A141),COUNTIF(INDIRECT(H$1&amp;"!$a1:$a10000"),汇总!$A141)),H140)</f>
        <v/>
      </c>
      <c r="I141" s="563">
        <f t="array" ref="I141">IFERROR(INDEX(_xlfn._xlws.FILTER(INDIRECT(I$1&amp;"!$E1:$E10000"),INDIRECT(I$1&amp;"!$a1:$a10000")=汇总!$A141),COUNTIF(INDIRECT(I$1&amp;"!$a1:$a10000"),汇总!$A141)),I140)</f>
        <v/>
      </c>
      <c r="J141" s="563">
        <f t="array" ref="J141">IFERROR(INDEX(_xlfn._xlws.FILTER(INDIRECT(J$1&amp;"!$E1:$E10000"),INDIRECT(J$1&amp;"!$a1:$a10000")=汇总!$A141),COUNTIF(INDIRECT(J$1&amp;"!$a1:$a10000"),汇总!$A141)),J140)</f>
        <v/>
      </c>
      <c r="K141" s="563">
        <f t="array" ref="K141">IFERROR(INDEX(_xlfn._xlws.FILTER(INDIRECT(K$1&amp;"!$E1:$E10000"),INDIRECT(K$1&amp;"!$a1:$a10000")=汇总!$A141),COUNTIF(INDIRECT(K$1&amp;"!$a1:$a10000"),汇总!$A141)),K140)</f>
        <v/>
      </c>
      <c r="L141" s="563">
        <f t="array" ref="L141">IFERROR(INDEX(_xlfn._xlws.FILTER(INDIRECT(L$1&amp;"!$E1:$E10000"),INDIRECT(L$1&amp;"!$a1:$a10000")=汇总!$A141),COUNTIF(INDIRECT(L$1&amp;"!$a1:$a10000"),汇总!$A141)),L140)</f>
        <v/>
      </c>
      <c r="M141" s="563">
        <f t="array" ref="M141">IFERROR(INDEX(_xlfn._xlws.FILTER(INDIRECT(M$1&amp;"!$E1:$E10000"),INDIRECT(M$1&amp;"!$a1:$a10000")=汇总!$A141),COUNTIF(INDIRECT(M$1&amp;"!$a1:$a10000"),汇总!$A141)),M140)</f>
        <v/>
      </c>
      <c r="N141" s="563">
        <f t="array" ref="N141">IFERROR(INDEX(_xlfn._xlws.FILTER(INDIRECT(N$1&amp;"!$E1:$E10000"),INDIRECT(N$1&amp;"!$a1:$a10000")=汇总!$A141),COUNTIF(INDIRECT(N$1&amp;"!$a1:$a10000"),汇总!$A141)),N140)</f>
        <v/>
      </c>
      <c r="O141" s="563">
        <f t="array" ref="O141">IFERROR(INDEX(_xlfn._xlws.FILTER(INDIRECT(O$1&amp;"!$E1:$E10000"),INDIRECT(O$1&amp;"!$a1:$a10000")=汇总!$A141),COUNTIF(INDIRECT(O$1&amp;"!$a1:$a10000"),汇总!$A141)),O140)</f>
        <v/>
      </c>
      <c r="P141" s="563">
        <f t="array" ref="P141">IFERROR(INDEX(_xlfn._xlws.FILTER(INDIRECT(P$1&amp;"!$E1:$E10000"),INDIRECT(P$1&amp;"!$a1:$a10000")=汇总!$A141),COUNTIF(INDIRECT(P$1&amp;"!$a1:$a10000"),汇总!$A141)),P140)</f>
        <v/>
      </c>
      <c r="Q141" s="563">
        <f t="array" ref="Q141">IFERROR(INDEX(_xlfn._xlws.FILTER(INDIRECT(Q$1&amp;"!$E1:$E10000"),INDIRECT(Q$1&amp;"!$a1:$a10000")=汇总!$A141),COUNTIF(INDIRECT(Q$1&amp;"!$a1:$a10000"),汇总!$A141)),Q140)</f>
        <v/>
      </c>
      <c r="R141" s="563">
        <f t="array" ref="R141">IFERROR(INDEX(_xlfn._xlws.FILTER(INDIRECT(R$1&amp;"!$E1:$E10000"),INDIRECT(R$1&amp;"!$a1:$a10000")=汇总!$A141),COUNTIF(INDIRECT(R$1&amp;"!$a1:$a10000"),汇总!$A141)),R140)</f>
        <v/>
      </c>
      <c r="S141" s="563">
        <f t="array" ref="S141">IFERROR(INDEX(_xlfn._xlws.FILTER(INDIRECT(S$1&amp;"!$E1:$E10000"),INDIRECT(S$1&amp;"!$a1:$a10000")=汇总!$A141),COUNTIF(INDIRECT(S$1&amp;"!$a1:$a10000"),汇总!$A141)),S140)</f>
        <v/>
      </c>
      <c r="T141" s="563">
        <f t="array" ref="T141">IFERROR(INDEX(_xlfn._xlws.FILTER(INDIRECT(T$1&amp;"!$E1:$E10000"),INDIRECT(T$1&amp;"!$a1:$a10000")=汇总!$A141),COUNTIF(INDIRECT(T$1&amp;"!$a1:$a10000"),汇总!$A141)),T140)</f>
        <v/>
      </c>
    </row>
    <row r="142">
      <c r="A142" s="1">
        <f>+A141+1</f>
        <v/>
      </c>
      <c r="B142" s="563">
        <f t="array" ref="B142">IFERROR(INDEX(_xlfn._xlws.FILTER(INDIRECT(B$1&amp;"!$E1:$E10000"),INDIRECT(B$1&amp;"!$a1:$a10000")=汇总!$A142),COUNTIF(INDIRECT(B$1&amp;"!$a1:$a10000"),汇总!$A142)),B141)</f>
        <v/>
      </c>
      <c r="C142" s="563">
        <f t="array" ref="C142">IFERROR(INDEX(_xlfn._xlws.FILTER(INDIRECT(C$1&amp;"!$E1:$E10000"),INDIRECT(C$1&amp;"!$a1:$a10000")=汇总!$A142),COUNTIF(INDIRECT(C$1&amp;"!$a1:$a10000"),汇总!$A142)),C141)</f>
        <v/>
      </c>
      <c r="D142" s="563">
        <f t="array" ref="D142">IFERROR(INDEX(_xlfn._xlws.FILTER(INDIRECT(D$1&amp;"!$E1:$E10000"),INDIRECT(D$1&amp;"!$a1:$a10000")=汇总!$A142),COUNTIF(INDIRECT(D$1&amp;"!$a1:$a10000"),汇总!$A142)),D141)</f>
        <v/>
      </c>
      <c r="E142" s="563">
        <f t="array" ref="E142">IFERROR(INDEX(_xlfn._xlws.FILTER(INDIRECT(E$1&amp;"!$E1:$E10000"),INDIRECT(E$1&amp;"!$a1:$a10000")=汇总!$A142),COUNTIF(INDIRECT(E$1&amp;"!$a1:$a10000"),汇总!$A142)),E141)</f>
        <v/>
      </c>
      <c r="F142" s="563">
        <f t="array" ref="F142">IFERROR(INDEX(_xlfn._xlws.FILTER(INDIRECT(F$1&amp;"!$E1:$E10000"),INDIRECT(F$1&amp;"!$a1:$a10000")=汇总!$A142),COUNTIF(INDIRECT(F$1&amp;"!$a1:$a10000"),汇总!$A142)),F141)</f>
        <v/>
      </c>
      <c r="G142" s="563">
        <f t="array" ref="G142">IFERROR(INDEX(_xlfn._xlws.FILTER(INDIRECT(G$1&amp;"!$E1:$E10000"),INDIRECT(G$1&amp;"!$a1:$a10000")=汇总!$A142),COUNTIF(INDIRECT(G$1&amp;"!$a1:$a10000"),汇总!$A142)),G141)</f>
        <v/>
      </c>
      <c r="H142" s="563">
        <f t="array" ref="H142">IFERROR(INDEX(_xlfn._xlws.FILTER(INDIRECT(H$1&amp;"!$E1:$E10000"),INDIRECT(H$1&amp;"!$a1:$a10000")=汇总!$A142),COUNTIF(INDIRECT(H$1&amp;"!$a1:$a10000"),汇总!$A142)),H141)</f>
        <v/>
      </c>
      <c r="I142" s="563">
        <f t="array" ref="I142">IFERROR(INDEX(_xlfn._xlws.FILTER(INDIRECT(I$1&amp;"!$E1:$E10000"),INDIRECT(I$1&amp;"!$a1:$a10000")=汇总!$A142),COUNTIF(INDIRECT(I$1&amp;"!$a1:$a10000"),汇总!$A142)),I141)</f>
        <v/>
      </c>
      <c r="J142" s="563">
        <f t="array" ref="J142">IFERROR(INDEX(_xlfn._xlws.FILTER(INDIRECT(J$1&amp;"!$E1:$E10000"),INDIRECT(J$1&amp;"!$a1:$a10000")=汇总!$A142),COUNTIF(INDIRECT(J$1&amp;"!$a1:$a10000"),汇总!$A142)),J141)</f>
        <v/>
      </c>
      <c r="K142" s="563">
        <f t="array" ref="K142">IFERROR(INDEX(_xlfn._xlws.FILTER(INDIRECT(K$1&amp;"!$E1:$E10000"),INDIRECT(K$1&amp;"!$a1:$a10000")=汇总!$A142),COUNTIF(INDIRECT(K$1&amp;"!$a1:$a10000"),汇总!$A142)),K141)</f>
        <v/>
      </c>
      <c r="L142" s="563">
        <f t="array" ref="L142">IFERROR(INDEX(_xlfn._xlws.FILTER(INDIRECT(L$1&amp;"!$E1:$E10000"),INDIRECT(L$1&amp;"!$a1:$a10000")=汇总!$A142),COUNTIF(INDIRECT(L$1&amp;"!$a1:$a10000"),汇总!$A142)),L141)</f>
        <v/>
      </c>
      <c r="M142" s="563">
        <f t="array" ref="M142">IFERROR(INDEX(_xlfn._xlws.FILTER(INDIRECT(M$1&amp;"!$E1:$E10000"),INDIRECT(M$1&amp;"!$a1:$a10000")=汇总!$A142),COUNTIF(INDIRECT(M$1&amp;"!$a1:$a10000"),汇总!$A142)),M141)</f>
        <v/>
      </c>
      <c r="N142" s="563">
        <f t="array" ref="N142">IFERROR(INDEX(_xlfn._xlws.FILTER(INDIRECT(N$1&amp;"!$E1:$E10000"),INDIRECT(N$1&amp;"!$a1:$a10000")=汇总!$A142),COUNTIF(INDIRECT(N$1&amp;"!$a1:$a10000"),汇总!$A142)),N141)</f>
        <v/>
      </c>
      <c r="O142" s="563">
        <f t="array" ref="O142">IFERROR(INDEX(_xlfn._xlws.FILTER(INDIRECT(O$1&amp;"!$E1:$E10000"),INDIRECT(O$1&amp;"!$a1:$a10000")=汇总!$A142),COUNTIF(INDIRECT(O$1&amp;"!$a1:$a10000"),汇总!$A142)),O141)</f>
        <v/>
      </c>
      <c r="P142" s="563">
        <f t="array" ref="P142">IFERROR(INDEX(_xlfn._xlws.FILTER(INDIRECT(P$1&amp;"!$E1:$E10000"),INDIRECT(P$1&amp;"!$a1:$a10000")=汇总!$A142),COUNTIF(INDIRECT(P$1&amp;"!$a1:$a10000"),汇总!$A142)),P141)</f>
        <v/>
      </c>
      <c r="Q142" s="563">
        <f t="array" ref="Q142">IFERROR(INDEX(_xlfn._xlws.FILTER(INDIRECT(Q$1&amp;"!$E1:$E10000"),INDIRECT(Q$1&amp;"!$a1:$a10000")=汇总!$A142),COUNTIF(INDIRECT(Q$1&amp;"!$a1:$a10000"),汇总!$A142)),Q141)</f>
        <v/>
      </c>
      <c r="R142" s="563">
        <f t="array" ref="R142">IFERROR(INDEX(_xlfn._xlws.FILTER(INDIRECT(R$1&amp;"!$E1:$E10000"),INDIRECT(R$1&amp;"!$a1:$a10000")=汇总!$A142),COUNTIF(INDIRECT(R$1&amp;"!$a1:$a10000"),汇总!$A142)),R141)</f>
        <v/>
      </c>
      <c r="S142" s="563">
        <f t="array" ref="S142">IFERROR(INDEX(_xlfn._xlws.FILTER(INDIRECT(S$1&amp;"!$E1:$E10000"),INDIRECT(S$1&amp;"!$a1:$a10000")=汇总!$A142),COUNTIF(INDIRECT(S$1&amp;"!$a1:$a10000"),汇总!$A142)),S141)</f>
        <v/>
      </c>
      <c r="T142" s="563">
        <f t="array" ref="T142">IFERROR(INDEX(_xlfn._xlws.FILTER(INDIRECT(T$1&amp;"!$E1:$E10000"),INDIRECT(T$1&amp;"!$a1:$a10000")=汇总!$A142),COUNTIF(INDIRECT(T$1&amp;"!$a1:$a10000"),汇总!$A142)),T141)</f>
        <v/>
      </c>
    </row>
    <row r="143">
      <c r="A143" s="1">
        <f>+A142+1</f>
        <v/>
      </c>
      <c r="B143" s="563">
        <f t="array" ref="B143">IFERROR(INDEX(_xlfn._xlws.FILTER(INDIRECT(B$1&amp;"!$E1:$E10000"),INDIRECT(B$1&amp;"!$a1:$a10000")=汇总!$A143),COUNTIF(INDIRECT(B$1&amp;"!$a1:$a10000"),汇总!$A143)),B142)</f>
        <v/>
      </c>
      <c r="C143" s="563">
        <f t="array" ref="C143">IFERROR(INDEX(_xlfn._xlws.FILTER(INDIRECT(C$1&amp;"!$E1:$E10000"),INDIRECT(C$1&amp;"!$a1:$a10000")=汇总!$A143),COUNTIF(INDIRECT(C$1&amp;"!$a1:$a10000"),汇总!$A143)),C142)</f>
        <v/>
      </c>
      <c r="D143" s="563">
        <f t="array" ref="D143">IFERROR(INDEX(_xlfn._xlws.FILTER(INDIRECT(D$1&amp;"!$E1:$E10000"),INDIRECT(D$1&amp;"!$a1:$a10000")=汇总!$A143),COUNTIF(INDIRECT(D$1&amp;"!$a1:$a10000"),汇总!$A143)),D142)</f>
        <v/>
      </c>
      <c r="E143" s="563">
        <f t="array" ref="E143">IFERROR(INDEX(_xlfn._xlws.FILTER(INDIRECT(E$1&amp;"!$E1:$E10000"),INDIRECT(E$1&amp;"!$a1:$a10000")=汇总!$A143),COUNTIF(INDIRECT(E$1&amp;"!$a1:$a10000"),汇总!$A143)),E142)</f>
        <v/>
      </c>
      <c r="F143" s="563">
        <f t="array" ref="F143">IFERROR(INDEX(_xlfn._xlws.FILTER(INDIRECT(F$1&amp;"!$E1:$E10000"),INDIRECT(F$1&amp;"!$a1:$a10000")=汇总!$A143),COUNTIF(INDIRECT(F$1&amp;"!$a1:$a10000"),汇总!$A143)),F142)</f>
        <v/>
      </c>
      <c r="G143" s="563">
        <f t="array" ref="G143">IFERROR(INDEX(_xlfn._xlws.FILTER(INDIRECT(G$1&amp;"!$E1:$E10000"),INDIRECT(G$1&amp;"!$a1:$a10000")=汇总!$A143),COUNTIF(INDIRECT(G$1&amp;"!$a1:$a10000"),汇总!$A143)),G142)</f>
        <v/>
      </c>
      <c r="H143" s="563">
        <f t="array" ref="H143">IFERROR(INDEX(_xlfn._xlws.FILTER(INDIRECT(H$1&amp;"!$E1:$E10000"),INDIRECT(H$1&amp;"!$a1:$a10000")=汇总!$A143),COUNTIF(INDIRECT(H$1&amp;"!$a1:$a10000"),汇总!$A143)),H142)</f>
        <v/>
      </c>
      <c r="I143" s="563">
        <f t="array" ref="I143">IFERROR(INDEX(_xlfn._xlws.FILTER(INDIRECT(I$1&amp;"!$E1:$E10000"),INDIRECT(I$1&amp;"!$a1:$a10000")=汇总!$A143),COUNTIF(INDIRECT(I$1&amp;"!$a1:$a10000"),汇总!$A143)),I142)</f>
        <v/>
      </c>
      <c r="J143" s="563">
        <f t="array" ref="J143">IFERROR(INDEX(_xlfn._xlws.FILTER(INDIRECT(J$1&amp;"!$E1:$E10000"),INDIRECT(J$1&amp;"!$a1:$a10000")=汇总!$A143),COUNTIF(INDIRECT(J$1&amp;"!$a1:$a10000"),汇总!$A143)),J142)</f>
        <v/>
      </c>
      <c r="K143" s="563">
        <f t="array" ref="K143">IFERROR(INDEX(_xlfn._xlws.FILTER(INDIRECT(K$1&amp;"!$E1:$E10000"),INDIRECT(K$1&amp;"!$a1:$a10000")=汇总!$A143),COUNTIF(INDIRECT(K$1&amp;"!$a1:$a10000"),汇总!$A143)),K142)</f>
        <v/>
      </c>
      <c r="L143" s="563">
        <f t="array" ref="L143">IFERROR(INDEX(_xlfn._xlws.FILTER(INDIRECT(L$1&amp;"!$E1:$E10000"),INDIRECT(L$1&amp;"!$a1:$a10000")=汇总!$A143),COUNTIF(INDIRECT(L$1&amp;"!$a1:$a10000"),汇总!$A143)),L142)</f>
        <v/>
      </c>
      <c r="M143" s="563">
        <f t="array" ref="M143">IFERROR(INDEX(_xlfn._xlws.FILTER(INDIRECT(M$1&amp;"!$E1:$E10000"),INDIRECT(M$1&amp;"!$a1:$a10000")=汇总!$A143),COUNTIF(INDIRECT(M$1&amp;"!$a1:$a10000"),汇总!$A143)),M142)</f>
        <v/>
      </c>
      <c r="N143" s="563">
        <f t="array" ref="N143">IFERROR(INDEX(_xlfn._xlws.FILTER(INDIRECT(N$1&amp;"!$E1:$E10000"),INDIRECT(N$1&amp;"!$a1:$a10000")=汇总!$A143),COUNTIF(INDIRECT(N$1&amp;"!$a1:$a10000"),汇总!$A143)),N142)</f>
        <v/>
      </c>
      <c r="O143" s="563">
        <f t="array" ref="O143">IFERROR(INDEX(_xlfn._xlws.FILTER(INDIRECT(O$1&amp;"!$E1:$E10000"),INDIRECT(O$1&amp;"!$a1:$a10000")=汇总!$A143),COUNTIF(INDIRECT(O$1&amp;"!$a1:$a10000"),汇总!$A143)),O142)</f>
        <v/>
      </c>
      <c r="P143" s="563">
        <f t="array" ref="P143">IFERROR(INDEX(_xlfn._xlws.FILTER(INDIRECT(P$1&amp;"!$E1:$E10000"),INDIRECT(P$1&amp;"!$a1:$a10000")=汇总!$A143),COUNTIF(INDIRECT(P$1&amp;"!$a1:$a10000"),汇总!$A143)),P142)</f>
        <v/>
      </c>
      <c r="Q143" s="563">
        <f t="array" ref="Q143">IFERROR(INDEX(_xlfn._xlws.FILTER(INDIRECT(Q$1&amp;"!$E1:$E10000"),INDIRECT(Q$1&amp;"!$a1:$a10000")=汇总!$A143),COUNTIF(INDIRECT(Q$1&amp;"!$a1:$a10000"),汇总!$A143)),Q142)</f>
        <v/>
      </c>
      <c r="R143" s="563">
        <f t="array" ref="R143">IFERROR(INDEX(_xlfn._xlws.FILTER(INDIRECT(R$1&amp;"!$E1:$E10000"),INDIRECT(R$1&amp;"!$a1:$a10000")=汇总!$A143),COUNTIF(INDIRECT(R$1&amp;"!$a1:$a10000"),汇总!$A143)),R142)</f>
        <v/>
      </c>
      <c r="S143" s="563">
        <f t="array" ref="S143">IFERROR(INDEX(_xlfn._xlws.FILTER(INDIRECT(S$1&amp;"!$E1:$E10000"),INDIRECT(S$1&amp;"!$a1:$a10000")=汇总!$A143),COUNTIF(INDIRECT(S$1&amp;"!$a1:$a10000"),汇总!$A143)),S142)</f>
        <v/>
      </c>
      <c r="T143" s="563">
        <f t="array" ref="T143">IFERROR(INDEX(_xlfn._xlws.FILTER(INDIRECT(T$1&amp;"!$E1:$E10000"),INDIRECT(T$1&amp;"!$a1:$a10000")=汇总!$A143),COUNTIF(INDIRECT(T$1&amp;"!$a1:$a10000"),汇总!$A143)),T142)</f>
        <v/>
      </c>
    </row>
    <row r="144">
      <c r="A144" s="1">
        <f>+A143+1</f>
        <v/>
      </c>
      <c r="B144" s="563">
        <f t="array" ref="B144">IFERROR(INDEX(_xlfn._xlws.FILTER(INDIRECT(B$1&amp;"!$E1:$E10000"),INDIRECT(B$1&amp;"!$a1:$a10000")=汇总!$A144),COUNTIF(INDIRECT(B$1&amp;"!$a1:$a10000"),汇总!$A144)),B143)</f>
        <v/>
      </c>
      <c r="C144" s="563">
        <f t="array" ref="C144">IFERROR(INDEX(_xlfn._xlws.FILTER(INDIRECT(C$1&amp;"!$E1:$E10000"),INDIRECT(C$1&amp;"!$a1:$a10000")=汇总!$A144),COUNTIF(INDIRECT(C$1&amp;"!$a1:$a10000"),汇总!$A144)),C143)</f>
        <v/>
      </c>
      <c r="D144" s="563">
        <f t="array" ref="D144">IFERROR(INDEX(_xlfn._xlws.FILTER(INDIRECT(D$1&amp;"!$E1:$E10000"),INDIRECT(D$1&amp;"!$a1:$a10000")=汇总!$A144),COUNTIF(INDIRECT(D$1&amp;"!$a1:$a10000"),汇总!$A144)),D143)</f>
        <v/>
      </c>
      <c r="E144" s="563">
        <f t="array" ref="E144">IFERROR(INDEX(_xlfn._xlws.FILTER(INDIRECT(E$1&amp;"!$E1:$E10000"),INDIRECT(E$1&amp;"!$a1:$a10000")=汇总!$A144),COUNTIF(INDIRECT(E$1&amp;"!$a1:$a10000"),汇总!$A144)),E143)</f>
        <v/>
      </c>
      <c r="F144" s="563">
        <f t="array" ref="F144">IFERROR(INDEX(_xlfn._xlws.FILTER(INDIRECT(F$1&amp;"!$E1:$E10000"),INDIRECT(F$1&amp;"!$a1:$a10000")=汇总!$A144),COUNTIF(INDIRECT(F$1&amp;"!$a1:$a10000"),汇总!$A144)),F143)</f>
        <v/>
      </c>
      <c r="G144" s="563">
        <f t="array" ref="G144">IFERROR(INDEX(_xlfn._xlws.FILTER(INDIRECT(G$1&amp;"!$E1:$E10000"),INDIRECT(G$1&amp;"!$a1:$a10000")=汇总!$A144),COUNTIF(INDIRECT(G$1&amp;"!$a1:$a10000"),汇总!$A144)),G143)</f>
        <v/>
      </c>
      <c r="H144" s="563">
        <f t="array" ref="H144">IFERROR(INDEX(_xlfn._xlws.FILTER(INDIRECT(H$1&amp;"!$E1:$E10000"),INDIRECT(H$1&amp;"!$a1:$a10000")=汇总!$A144),COUNTIF(INDIRECT(H$1&amp;"!$a1:$a10000"),汇总!$A144)),H143)</f>
        <v/>
      </c>
      <c r="I144" s="563">
        <f t="array" ref="I144">IFERROR(INDEX(_xlfn._xlws.FILTER(INDIRECT(I$1&amp;"!$E1:$E10000"),INDIRECT(I$1&amp;"!$a1:$a10000")=汇总!$A144),COUNTIF(INDIRECT(I$1&amp;"!$a1:$a10000"),汇总!$A144)),I143)</f>
        <v/>
      </c>
      <c r="J144" s="563">
        <f t="array" ref="J144">IFERROR(INDEX(_xlfn._xlws.FILTER(INDIRECT(J$1&amp;"!$E1:$E10000"),INDIRECT(J$1&amp;"!$a1:$a10000")=汇总!$A144),COUNTIF(INDIRECT(J$1&amp;"!$a1:$a10000"),汇总!$A144)),J143)</f>
        <v/>
      </c>
      <c r="K144" s="563">
        <f t="array" ref="K144">IFERROR(INDEX(_xlfn._xlws.FILTER(INDIRECT(K$1&amp;"!$E1:$E10000"),INDIRECT(K$1&amp;"!$a1:$a10000")=汇总!$A144),COUNTIF(INDIRECT(K$1&amp;"!$a1:$a10000"),汇总!$A144)),K143)</f>
        <v/>
      </c>
      <c r="L144" s="563">
        <f t="array" ref="L144">IFERROR(INDEX(_xlfn._xlws.FILTER(INDIRECT(L$1&amp;"!$E1:$E10000"),INDIRECT(L$1&amp;"!$a1:$a10000")=汇总!$A144),COUNTIF(INDIRECT(L$1&amp;"!$a1:$a10000"),汇总!$A144)),L143)</f>
        <v/>
      </c>
      <c r="M144" s="563">
        <f t="array" ref="M144">IFERROR(INDEX(_xlfn._xlws.FILTER(INDIRECT(M$1&amp;"!$E1:$E10000"),INDIRECT(M$1&amp;"!$a1:$a10000")=汇总!$A144),COUNTIF(INDIRECT(M$1&amp;"!$a1:$a10000"),汇总!$A144)),M143)</f>
        <v/>
      </c>
      <c r="N144" s="563">
        <f t="array" ref="N144">IFERROR(INDEX(_xlfn._xlws.FILTER(INDIRECT(N$1&amp;"!$E1:$E10000"),INDIRECT(N$1&amp;"!$a1:$a10000")=汇总!$A144),COUNTIF(INDIRECT(N$1&amp;"!$a1:$a10000"),汇总!$A144)),N143)</f>
        <v/>
      </c>
      <c r="O144" s="563">
        <f t="array" ref="O144">IFERROR(INDEX(_xlfn._xlws.FILTER(INDIRECT(O$1&amp;"!$E1:$E10000"),INDIRECT(O$1&amp;"!$a1:$a10000")=汇总!$A144),COUNTIF(INDIRECT(O$1&amp;"!$a1:$a10000"),汇总!$A144)),O143)</f>
        <v/>
      </c>
      <c r="P144" s="563">
        <f t="array" ref="P144">IFERROR(INDEX(_xlfn._xlws.FILTER(INDIRECT(P$1&amp;"!$E1:$E10000"),INDIRECT(P$1&amp;"!$a1:$a10000")=汇总!$A144),COUNTIF(INDIRECT(P$1&amp;"!$a1:$a10000"),汇总!$A144)),P143)</f>
        <v/>
      </c>
      <c r="Q144" s="563">
        <f t="array" ref="Q144">IFERROR(INDEX(_xlfn._xlws.FILTER(INDIRECT(Q$1&amp;"!$E1:$E10000"),INDIRECT(Q$1&amp;"!$a1:$a10000")=汇总!$A144),COUNTIF(INDIRECT(Q$1&amp;"!$a1:$a10000"),汇总!$A144)),Q143)</f>
        <v/>
      </c>
      <c r="R144" s="563">
        <f t="array" ref="R144">IFERROR(INDEX(_xlfn._xlws.FILTER(INDIRECT(R$1&amp;"!$E1:$E10000"),INDIRECT(R$1&amp;"!$a1:$a10000")=汇总!$A144),COUNTIF(INDIRECT(R$1&amp;"!$a1:$a10000"),汇总!$A144)),R143)</f>
        <v/>
      </c>
      <c r="S144" s="563">
        <f t="array" ref="S144">IFERROR(INDEX(_xlfn._xlws.FILTER(INDIRECT(S$1&amp;"!$E1:$E10000"),INDIRECT(S$1&amp;"!$a1:$a10000")=汇总!$A144),COUNTIF(INDIRECT(S$1&amp;"!$a1:$a10000"),汇总!$A144)),S143)</f>
        <v/>
      </c>
      <c r="T144" s="563">
        <f t="array" ref="T144">IFERROR(INDEX(_xlfn._xlws.FILTER(INDIRECT(T$1&amp;"!$E1:$E10000"),INDIRECT(T$1&amp;"!$a1:$a10000")=汇总!$A144),COUNTIF(INDIRECT(T$1&amp;"!$a1:$a10000"),汇总!$A144)),T143)</f>
        <v/>
      </c>
    </row>
    <row r="145">
      <c r="A145" s="1">
        <f>+A144+1</f>
        <v/>
      </c>
      <c r="B145" s="563">
        <f t="array" ref="B145">IFERROR(INDEX(_xlfn._xlws.FILTER(INDIRECT(B$1&amp;"!$E1:$E10000"),INDIRECT(B$1&amp;"!$a1:$a10000")=汇总!$A145),COUNTIF(INDIRECT(B$1&amp;"!$a1:$a10000"),汇总!$A145)),B144)</f>
        <v/>
      </c>
      <c r="C145" s="563">
        <f t="array" ref="C145">IFERROR(INDEX(_xlfn._xlws.FILTER(INDIRECT(C$1&amp;"!$E1:$E10000"),INDIRECT(C$1&amp;"!$a1:$a10000")=汇总!$A145),COUNTIF(INDIRECT(C$1&amp;"!$a1:$a10000"),汇总!$A145)),C144)</f>
        <v/>
      </c>
      <c r="D145" s="563">
        <f t="array" ref="D145">IFERROR(INDEX(_xlfn._xlws.FILTER(INDIRECT(D$1&amp;"!$E1:$E10000"),INDIRECT(D$1&amp;"!$a1:$a10000")=汇总!$A145),COUNTIF(INDIRECT(D$1&amp;"!$a1:$a10000"),汇总!$A145)),D144)</f>
        <v/>
      </c>
      <c r="E145" s="563">
        <f t="array" ref="E145">IFERROR(INDEX(_xlfn._xlws.FILTER(INDIRECT(E$1&amp;"!$E1:$E10000"),INDIRECT(E$1&amp;"!$a1:$a10000")=汇总!$A145),COUNTIF(INDIRECT(E$1&amp;"!$a1:$a10000"),汇总!$A145)),E144)</f>
        <v/>
      </c>
      <c r="F145" s="563">
        <f t="array" ref="F145">IFERROR(INDEX(_xlfn._xlws.FILTER(INDIRECT(F$1&amp;"!$E1:$E10000"),INDIRECT(F$1&amp;"!$a1:$a10000")=汇总!$A145),COUNTIF(INDIRECT(F$1&amp;"!$a1:$a10000"),汇总!$A145)),F144)</f>
        <v/>
      </c>
      <c r="G145" s="563">
        <f t="array" ref="G145">IFERROR(INDEX(_xlfn._xlws.FILTER(INDIRECT(G$1&amp;"!$E1:$E10000"),INDIRECT(G$1&amp;"!$a1:$a10000")=汇总!$A145),COUNTIF(INDIRECT(G$1&amp;"!$a1:$a10000"),汇总!$A145)),G144)</f>
        <v/>
      </c>
      <c r="H145" s="563">
        <f t="array" ref="H145">IFERROR(INDEX(_xlfn._xlws.FILTER(INDIRECT(H$1&amp;"!$E1:$E10000"),INDIRECT(H$1&amp;"!$a1:$a10000")=汇总!$A145),COUNTIF(INDIRECT(H$1&amp;"!$a1:$a10000"),汇总!$A145)),H144)</f>
        <v/>
      </c>
      <c r="I145" s="563">
        <f t="array" ref="I145">IFERROR(INDEX(_xlfn._xlws.FILTER(INDIRECT(I$1&amp;"!$E1:$E10000"),INDIRECT(I$1&amp;"!$a1:$a10000")=汇总!$A145),COUNTIF(INDIRECT(I$1&amp;"!$a1:$a10000"),汇总!$A145)),I144)</f>
        <v/>
      </c>
      <c r="J145" s="563">
        <f t="array" ref="J145">IFERROR(INDEX(_xlfn._xlws.FILTER(INDIRECT(J$1&amp;"!$E1:$E10000"),INDIRECT(J$1&amp;"!$a1:$a10000")=汇总!$A145),COUNTIF(INDIRECT(J$1&amp;"!$a1:$a10000"),汇总!$A145)),J144)</f>
        <v/>
      </c>
      <c r="K145" s="563">
        <f t="array" ref="K145">IFERROR(INDEX(_xlfn._xlws.FILTER(INDIRECT(K$1&amp;"!$E1:$E10000"),INDIRECT(K$1&amp;"!$a1:$a10000")=汇总!$A145),COUNTIF(INDIRECT(K$1&amp;"!$a1:$a10000"),汇总!$A145)),K144)</f>
        <v/>
      </c>
      <c r="L145" s="563">
        <f t="array" ref="L145">IFERROR(INDEX(_xlfn._xlws.FILTER(INDIRECT(L$1&amp;"!$E1:$E10000"),INDIRECT(L$1&amp;"!$a1:$a10000")=汇总!$A145),COUNTIF(INDIRECT(L$1&amp;"!$a1:$a10000"),汇总!$A145)),L144)</f>
        <v/>
      </c>
      <c r="M145" s="563">
        <f t="array" ref="M145">IFERROR(INDEX(_xlfn._xlws.FILTER(INDIRECT(M$1&amp;"!$E1:$E10000"),INDIRECT(M$1&amp;"!$a1:$a10000")=汇总!$A145),COUNTIF(INDIRECT(M$1&amp;"!$a1:$a10000"),汇总!$A145)),M144)</f>
        <v/>
      </c>
      <c r="N145" s="563">
        <f t="array" ref="N145">IFERROR(INDEX(_xlfn._xlws.FILTER(INDIRECT(N$1&amp;"!$E1:$E10000"),INDIRECT(N$1&amp;"!$a1:$a10000")=汇总!$A145),COUNTIF(INDIRECT(N$1&amp;"!$a1:$a10000"),汇总!$A145)),N144)</f>
        <v/>
      </c>
      <c r="O145" s="563">
        <f t="array" ref="O145">IFERROR(INDEX(_xlfn._xlws.FILTER(INDIRECT(O$1&amp;"!$E1:$E10000"),INDIRECT(O$1&amp;"!$a1:$a10000")=汇总!$A145),COUNTIF(INDIRECT(O$1&amp;"!$a1:$a10000"),汇总!$A145)),O144)</f>
        <v/>
      </c>
      <c r="P145" s="563">
        <f t="array" ref="P145">IFERROR(INDEX(_xlfn._xlws.FILTER(INDIRECT(P$1&amp;"!$E1:$E10000"),INDIRECT(P$1&amp;"!$a1:$a10000")=汇总!$A145),COUNTIF(INDIRECT(P$1&amp;"!$a1:$a10000"),汇总!$A145)),P144)</f>
        <v/>
      </c>
      <c r="Q145" s="563">
        <f t="array" ref="Q145">IFERROR(INDEX(_xlfn._xlws.FILTER(INDIRECT(Q$1&amp;"!$E1:$E10000"),INDIRECT(Q$1&amp;"!$a1:$a10000")=汇总!$A145),COUNTIF(INDIRECT(Q$1&amp;"!$a1:$a10000"),汇总!$A145)),Q144)</f>
        <v/>
      </c>
      <c r="R145" s="563">
        <f t="array" ref="R145">IFERROR(INDEX(_xlfn._xlws.FILTER(INDIRECT(R$1&amp;"!$E1:$E10000"),INDIRECT(R$1&amp;"!$a1:$a10000")=汇总!$A145),COUNTIF(INDIRECT(R$1&amp;"!$a1:$a10000"),汇总!$A145)),R144)</f>
        <v/>
      </c>
      <c r="S145" s="563">
        <f t="array" ref="S145">IFERROR(INDEX(_xlfn._xlws.FILTER(INDIRECT(S$1&amp;"!$E1:$E10000"),INDIRECT(S$1&amp;"!$a1:$a10000")=汇总!$A145),COUNTIF(INDIRECT(S$1&amp;"!$a1:$a10000"),汇总!$A145)),S144)</f>
        <v/>
      </c>
      <c r="T145" s="563">
        <f t="array" ref="T145">IFERROR(INDEX(_xlfn._xlws.FILTER(INDIRECT(T$1&amp;"!$E1:$E10000"),INDIRECT(T$1&amp;"!$a1:$a10000")=汇总!$A145),COUNTIF(INDIRECT(T$1&amp;"!$a1:$a10000"),汇总!$A145)),T144)</f>
        <v/>
      </c>
    </row>
    <row r="146">
      <c r="A146" s="1">
        <f>+A145+1</f>
        <v/>
      </c>
      <c r="B146" s="563">
        <f t="array" ref="B146">IFERROR(INDEX(_xlfn._xlws.FILTER(INDIRECT(B$1&amp;"!$E1:$E10000"),INDIRECT(B$1&amp;"!$a1:$a10000")=汇总!$A146),COUNTIF(INDIRECT(B$1&amp;"!$a1:$a10000"),汇总!$A146)),B145)</f>
        <v/>
      </c>
      <c r="C146" s="563">
        <f t="array" ref="C146">IFERROR(INDEX(_xlfn._xlws.FILTER(INDIRECT(C$1&amp;"!$E1:$E10000"),INDIRECT(C$1&amp;"!$a1:$a10000")=汇总!$A146),COUNTIF(INDIRECT(C$1&amp;"!$a1:$a10000"),汇总!$A146)),C145)</f>
        <v/>
      </c>
      <c r="D146" s="563">
        <f t="array" ref="D146">IFERROR(INDEX(_xlfn._xlws.FILTER(INDIRECT(D$1&amp;"!$E1:$E10000"),INDIRECT(D$1&amp;"!$a1:$a10000")=汇总!$A146),COUNTIF(INDIRECT(D$1&amp;"!$a1:$a10000"),汇总!$A146)),D145)</f>
        <v/>
      </c>
      <c r="E146" s="563">
        <f t="array" ref="E146">IFERROR(INDEX(_xlfn._xlws.FILTER(INDIRECT(E$1&amp;"!$E1:$E10000"),INDIRECT(E$1&amp;"!$a1:$a10000")=汇总!$A146),COUNTIF(INDIRECT(E$1&amp;"!$a1:$a10000"),汇总!$A146)),E145)</f>
        <v/>
      </c>
      <c r="F146" s="563">
        <f t="array" ref="F146">IFERROR(INDEX(_xlfn._xlws.FILTER(INDIRECT(F$1&amp;"!$E1:$E10000"),INDIRECT(F$1&amp;"!$a1:$a10000")=汇总!$A146),COUNTIF(INDIRECT(F$1&amp;"!$a1:$a10000"),汇总!$A146)),F145)</f>
        <v/>
      </c>
      <c r="G146" s="563">
        <f t="array" ref="G146">IFERROR(INDEX(_xlfn._xlws.FILTER(INDIRECT(G$1&amp;"!$E1:$E10000"),INDIRECT(G$1&amp;"!$a1:$a10000")=汇总!$A146),COUNTIF(INDIRECT(G$1&amp;"!$a1:$a10000"),汇总!$A146)),G145)</f>
        <v/>
      </c>
      <c r="H146" s="563">
        <f t="array" ref="H146">IFERROR(INDEX(_xlfn._xlws.FILTER(INDIRECT(H$1&amp;"!$E1:$E10000"),INDIRECT(H$1&amp;"!$a1:$a10000")=汇总!$A146),COUNTIF(INDIRECT(H$1&amp;"!$a1:$a10000"),汇总!$A146)),H145)</f>
        <v/>
      </c>
      <c r="I146" s="563">
        <f t="array" ref="I146">IFERROR(INDEX(_xlfn._xlws.FILTER(INDIRECT(I$1&amp;"!$E1:$E10000"),INDIRECT(I$1&amp;"!$a1:$a10000")=汇总!$A146),COUNTIF(INDIRECT(I$1&amp;"!$a1:$a10000"),汇总!$A146)),I145)</f>
        <v/>
      </c>
      <c r="J146" s="563">
        <f t="array" ref="J146">IFERROR(INDEX(_xlfn._xlws.FILTER(INDIRECT(J$1&amp;"!$E1:$E10000"),INDIRECT(J$1&amp;"!$a1:$a10000")=汇总!$A146),COUNTIF(INDIRECT(J$1&amp;"!$a1:$a10000"),汇总!$A146)),J145)</f>
        <v/>
      </c>
      <c r="K146" s="563">
        <f t="array" ref="K146">IFERROR(INDEX(_xlfn._xlws.FILTER(INDIRECT(K$1&amp;"!$E1:$E10000"),INDIRECT(K$1&amp;"!$a1:$a10000")=汇总!$A146),COUNTIF(INDIRECT(K$1&amp;"!$a1:$a10000"),汇总!$A146)),K145)</f>
        <v/>
      </c>
      <c r="L146" s="563">
        <f t="array" ref="L146">IFERROR(INDEX(_xlfn._xlws.FILTER(INDIRECT(L$1&amp;"!$E1:$E10000"),INDIRECT(L$1&amp;"!$a1:$a10000")=汇总!$A146),COUNTIF(INDIRECT(L$1&amp;"!$a1:$a10000"),汇总!$A146)),L145)</f>
        <v/>
      </c>
      <c r="M146" s="563">
        <f t="array" ref="M146">IFERROR(INDEX(_xlfn._xlws.FILTER(INDIRECT(M$1&amp;"!$E1:$E10000"),INDIRECT(M$1&amp;"!$a1:$a10000")=汇总!$A146),COUNTIF(INDIRECT(M$1&amp;"!$a1:$a10000"),汇总!$A146)),M145)</f>
        <v/>
      </c>
      <c r="N146" s="563">
        <f t="array" ref="N146">IFERROR(INDEX(_xlfn._xlws.FILTER(INDIRECT(N$1&amp;"!$E1:$E10000"),INDIRECT(N$1&amp;"!$a1:$a10000")=汇总!$A146),COUNTIF(INDIRECT(N$1&amp;"!$a1:$a10000"),汇总!$A146)),N145)</f>
        <v/>
      </c>
      <c r="O146" s="563">
        <f t="array" ref="O146">IFERROR(INDEX(_xlfn._xlws.FILTER(INDIRECT(O$1&amp;"!$E1:$E10000"),INDIRECT(O$1&amp;"!$a1:$a10000")=汇总!$A146),COUNTIF(INDIRECT(O$1&amp;"!$a1:$a10000"),汇总!$A146)),O145)</f>
        <v/>
      </c>
      <c r="P146" s="563">
        <f t="array" ref="P146">IFERROR(INDEX(_xlfn._xlws.FILTER(INDIRECT(P$1&amp;"!$E1:$E10000"),INDIRECT(P$1&amp;"!$a1:$a10000")=汇总!$A146),COUNTIF(INDIRECT(P$1&amp;"!$a1:$a10000"),汇总!$A146)),P145)</f>
        <v/>
      </c>
      <c r="Q146" s="563">
        <f t="array" ref="Q146">IFERROR(INDEX(_xlfn._xlws.FILTER(INDIRECT(Q$1&amp;"!$E1:$E10000"),INDIRECT(Q$1&amp;"!$a1:$a10000")=汇总!$A146),COUNTIF(INDIRECT(Q$1&amp;"!$a1:$a10000"),汇总!$A146)),Q145)</f>
        <v/>
      </c>
      <c r="R146" s="563">
        <f t="array" ref="R146">IFERROR(INDEX(_xlfn._xlws.FILTER(INDIRECT(R$1&amp;"!$E1:$E10000"),INDIRECT(R$1&amp;"!$a1:$a10000")=汇总!$A146),COUNTIF(INDIRECT(R$1&amp;"!$a1:$a10000"),汇总!$A146)),R145)</f>
        <v/>
      </c>
      <c r="S146" s="563">
        <f t="array" ref="S146">IFERROR(INDEX(_xlfn._xlws.FILTER(INDIRECT(S$1&amp;"!$E1:$E10000"),INDIRECT(S$1&amp;"!$a1:$a10000")=汇总!$A146),COUNTIF(INDIRECT(S$1&amp;"!$a1:$a10000"),汇总!$A146)),S145)</f>
        <v/>
      </c>
      <c r="T146" s="563">
        <f t="array" ref="T146">IFERROR(INDEX(_xlfn._xlws.FILTER(INDIRECT(T$1&amp;"!$E1:$E10000"),INDIRECT(T$1&amp;"!$a1:$a10000")=汇总!$A146),COUNTIF(INDIRECT(T$1&amp;"!$a1:$a10000"),汇总!$A146)),T145)</f>
        <v/>
      </c>
    </row>
    <row r="147">
      <c r="A147" s="1">
        <f>+A146+1</f>
        <v/>
      </c>
      <c r="B147" s="563">
        <f t="array" ref="B147">IFERROR(INDEX(_xlfn._xlws.FILTER(INDIRECT(B$1&amp;"!$E1:$E10000"),INDIRECT(B$1&amp;"!$a1:$a10000")=汇总!$A147),COUNTIF(INDIRECT(B$1&amp;"!$a1:$a10000"),汇总!$A147)),B146)</f>
        <v/>
      </c>
      <c r="C147" s="563">
        <f t="array" ref="C147">IFERROR(INDEX(_xlfn._xlws.FILTER(INDIRECT(C$1&amp;"!$E1:$E10000"),INDIRECT(C$1&amp;"!$a1:$a10000")=汇总!$A147),COUNTIF(INDIRECT(C$1&amp;"!$a1:$a10000"),汇总!$A147)),C146)</f>
        <v/>
      </c>
      <c r="D147" s="563">
        <f t="array" ref="D147">IFERROR(INDEX(_xlfn._xlws.FILTER(INDIRECT(D$1&amp;"!$E1:$E10000"),INDIRECT(D$1&amp;"!$a1:$a10000")=汇总!$A147),COUNTIF(INDIRECT(D$1&amp;"!$a1:$a10000"),汇总!$A147)),D146)</f>
        <v/>
      </c>
      <c r="E147" s="563">
        <f t="array" ref="E147">IFERROR(INDEX(_xlfn._xlws.FILTER(INDIRECT(E$1&amp;"!$E1:$E10000"),INDIRECT(E$1&amp;"!$a1:$a10000")=汇总!$A147),COUNTIF(INDIRECT(E$1&amp;"!$a1:$a10000"),汇总!$A147)),E146)</f>
        <v/>
      </c>
      <c r="F147" s="563">
        <f t="array" ref="F147">IFERROR(INDEX(_xlfn._xlws.FILTER(INDIRECT(F$1&amp;"!$E1:$E10000"),INDIRECT(F$1&amp;"!$a1:$a10000")=汇总!$A147),COUNTIF(INDIRECT(F$1&amp;"!$a1:$a10000"),汇总!$A147)),F146)</f>
        <v/>
      </c>
      <c r="G147" s="563">
        <f t="array" ref="G147">IFERROR(INDEX(_xlfn._xlws.FILTER(INDIRECT(G$1&amp;"!$E1:$E10000"),INDIRECT(G$1&amp;"!$a1:$a10000")=汇总!$A147),COUNTIF(INDIRECT(G$1&amp;"!$a1:$a10000"),汇总!$A147)),G146)</f>
        <v/>
      </c>
      <c r="H147" s="563">
        <f t="array" ref="H147">IFERROR(INDEX(_xlfn._xlws.FILTER(INDIRECT(H$1&amp;"!$E1:$E10000"),INDIRECT(H$1&amp;"!$a1:$a10000")=汇总!$A147),COUNTIF(INDIRECT(H$1&amp;"!$a1:$a10000"),汇总!$A147)),H146)</f>
        <v/>
      </c>
      <c r="I147" s="563">
        <f t="array" ref="I147">IFERROR(INDEX(_xlfn._xlws.FILTER(INDIRECT(I$1&amp;"!$E1:$E10000"),INDIRECT(I$1&amp;"!$a1:$a10000")=汇总!$A147),COUNTIF(INDIRECT(I$1&amp;"!$a1:$a10000"),汇总!$A147)),I146)</f>
        <v/>
      </c>
      <c r="J147" s="563">
        <f t="array" ref="J147">IFERROR(INDEX(_xlfn._xlws.FILTER(INDIRECT(J$1&amp;"!$E1:$E10000"),INDIRECT(J$1&amp;"!$a1:$a10000")=汇总!$A147),COUNTIF(INDIRECT(J$1&amp;"!$a1:$a10000"),汇总!$A147)),J146)</f>
        <v/>
      </c>
      <c r="K147" s="563">
        <f t="array" ref="K147">IFERROR(INDEX(_xlfn._xlws.FILTER(INDIRECT(K$1&amp;"!$E1:$E10000"),INDIRECT(K$1&amp;"!$a1:$a10000")=汇总!$A147),COUNTIF(INDIRECT(K$1&amp;"!$a1:$a10000"),汇总!$A147)),K146)</f>
        <v/>
      </c>
      <c r="L147" s="563">
        <f t="array" ref="L147">IFERROR(INDEX(_xlfn._xlws.FILTER(INDIRECT(L$1&amp;"!$E1:$E10000"),INDIRECT(L$1&amp;"!$a1:$a10000")=汇总!$A147),COUNTIF(INDIRECT(L$1&amp;"!$a1:$a10000"),汇总!$A147)),L146)</f>
        <v/>
      </c>
      <c r="M147" s="563">
        <f t="array" ref="M147">IFERROR(INDEX(_xlfn._xlws.FILTER(INDIRECT(M$1&amp;"!$E1:$E10000"),INDIRECT(M$1&amp;"!$a1:$a10000")=汇总!$A147),COUNTIF(INDIRECT(M$1&amp;"!$a1:$a10000"),汇总!$A147)),M146)</f>
        <v/>
      </c>
      <c r="N147" s="563">
        <f t="array" ref="N147">IFERROR(INDEX(_xlfn._xlws.FILTER(INDIRECT(N$1&amp;"!$E1:$E10000"),INDIRECT(N$1&amp;"!$a1:$a10000")=汇总!$A147),COUNTIF(INDIRECT(N$1&amp;"!$a1:$a10000"),汇总!$A147)),N146)</f>
        <v/>
      </c>
      <c r="O147" s="563">
        <f t="array" ref="O147">IFERROR(INDEX(_xlfn._xlws.FILTER(INDIRECT(O$1&amp;"!$E1:$E10000"),INDIRECT(O$1&amp;"!$a1:$a10000")=汇总!$A147),COUNTIF(INDIRECT(O$1&amp;"!$a1:$a10000"),汇总!$A147)),O146)</f>
        <v/>
      </c>
      <c r="P147" s="563">
        <f t="array" ref="P147">IFERROR(INDEX(_xlfn._xlws.FILTER(INDIRECT(P$1&amp;"!$E1:$E10000"),INDIRECT(P$1&amp;"!$a1:$a10000")=汇总!$A147),COUNTIF(INDIRECT(P$1&amp;"!$a1:$a10000"),汇总!$A147)),P146)</f>
        <v/>
      </c>
      <c r="Q147" s="563">
        <f t="array" ref="Q147">IFERROR(INDEX(_xlfn._xlws.FILTER(INDIRECT(Q$1&amp;"!$E1:$E10000"),INDIRECT(Q$1&amp;"!$a1:$a10000")=汇总!$A147),COUNTIF(INDIRECT(Q$1&amp;"!$a1:$a10000"),汇总!$A147)),Q146)</f>
        <v/>
      </c>
      <c r="R147" s="563">
        <f t="array" ref="R147">IFERROR(INDEX(_xlfn._xlws.FILTER(INDIRECT(R$1&amp;"!$E1:$E10000"),INDIRECT(R$1&amp;"!$a1:$a10000")=汇总!$A147),COUNTIF(INDIRECT(R$1&amp;"!$a1:$a10000"),汇总!$A147)),R146)</f>
        <v/>
      </c>
      <c r="S147" s="563">
        <f t="array" ref="S147">IFERROR(INDEX(_xlfn._xlws.FILTER(INDIRECT(S$1&amp;"!$E1:$E10000"),INDIRECT(S$1&amp;"!$a1:$a10000")=汇总!$A147),COUNTIF(INDIRECT(S$1&amp;"!$a1:$a10000"),汇总!$A147)),S146)</f>
        <v/>
      </c>
      <c r="T147" s="563">
        <f t="array" ref="T147">IFERROR(INDEX(_xlfn._xlws.FILTER(INDIRECT(T$1&amp;"!$E1:$E10000"),INDIRECT(T$1&amp;"!$a1:$a10000")=汇总!$A147),COUNTIF(INDIRECT(T$1&amp;"!$a1:$a10000"),汇总!$A147)),T146)</f>
        <v/>
      </c>
    </row>
    <row r="148">
      <c r="A148" s="1">
        <f>+A147+1</f>
        <v/>
      </c>
      <c r="B148" s="563">
        <f t="array" ref="B148">IFERROR(INDEX(_xlfn._xlws.FILTER(INDIRECT(B$1&amp;"!$E1:$E10000"),INDIRECT(B$1&amp;"!$a1:$a10000")=汇总!$A148),COUNTIF(INDIRECT(B$1&amp;"!$a1:$a10000"),汇总!$A148)),B147)</f>
        <v/>
      </c>
      <c r="C148" s="563">
        <f t="array" ref="C148">IFERROR(INDEX(_xlfn._xlws.FILTER(INDIRECT(C$1&amp;"!$E1:$E10000"),INDIRECT(C$1&amp;"!$a1:$a10000")=汇总!$A148),COUNTIF(INDIRECT(C$1&amp;"!$a1:$a10000"),汇总!$A148)),C147)</f>
        <v/>
      </c>
      <c r="D148" s="563">
        <f t="array" ref="D148">IFERROR(INDEX(_xlfn._xlws.FILTER(INDIRECT(D$1&amp;"!$E1:$E10000"),INDIRECT(D$1&amp;"!$a1:$a10000")=汇总!$A148),COUNTIF(INDIRECT(D$1&amp;"!$a1:$a10000"),汇总!$A148)),D147)</f>
        <v/>
      </c>
      <c r="E148" s="563">
        <f t="array" ref="E148">IFERROR(INDEX(_xlfn._xlws.FILTER(INDIRECT(E$1&amp;"!$E1:$E10000"),INDIRECT(E$1&amp;"!$a1:$a10000")=汇总!$A148),COUNTIF(INDIRECT(E$1&amp;"!$a1:$a10000"),汇总!$A148)),E147)</f>
        <v/>
      </c>
      <c r="F148" s="563">
        <f t="array" ref="F148">IFERROR(INDEX(_xlfn._xlws.FILTER(INDIRECT(F$1&amp;"!$E1:$E10000"),INDIRECT(F$1&amp;"!$a1:$a10000")=汇总!$A148),COUNTIF(INDIRECT(F$1&amp;"!$a1:$a10000"),汇总!$A148)),F147)</f>
        <v/>
      </c>
      <c r="G148" s="563">
        <f t="array" ref="G148">IFERROR(INDEX(_xlfn._xlws.FILTER(INDIRECT(G$1&amp;"!$E1:$E10000"),INDIRECT(G$1&amp;"!$a1:$a10000")=汇总!$A148),COUNTIF(INDIRECT(G$1&amp;"!$a1:$a10000"),汇总!$A148)),G147)</f>
        <v/>
      </c>
      <c r="H148" s="563">
        <f t="array" ref="H148">IFERROR(INDEX(_xlfn._xlws.FILTER(INDIRECT(H$1&amp;"!$E1:$E10000"),INDIRECT(H$1&amp;"!$a1:$a10000")=汇总!$A148),COUNTIF(INDIRECT(H$1&amp;"!$a1:$a10000"),汇总!$A148)),H147)</f>
        <v/>
      </c>
      <c r="I148" s="563">
        <f t="array" ref="I148">IFERROR(INDEX(_xlfn._xlws.FILTER(INDIRECT(I$1&amp;"!$E1:$E10000"),INDIRECT(I$1&amp;"!$a1:$a10000")=汇总!$A148),COUNTIF(INDIRECT(I$1&amp;"!$a1:$a10000"),汇总!$A148)),I147)</f>
        <v/>
      </c>
      <c r="J148" s="563">
        <f t="array" ref="J148">IFERROR(INDEX(_xlfn._xlws.FILTER(INDIRECT(J$1&amp;"!$E1:$E10000"),INDIRECT(J$1&amp;"!$a1:$a10000")=汇总!$A148),COUNTIF(INDIRECT(J$1&amp;"!$a1:$a10000"),汇总!$A148)),J147)</f>
        <v/>
      </c>
      <c r="K148" s="563">
        <f t="array" ref="K148">IFERROR(INDEX(_xlfn._xlws.FILTER(INDIRECT(K$1&amp;"!$E1:$E10000"),INDIRECT(K$1&amp;"!$a1:$a10000")=汇总!$A148),COUNTIF(INDIRECT(K$1&amp;"!$a1:$a10000"),汇总!$A148)),K147)</f>
        <v/>
      </c>
      <c r="L148" s="563">
        <f t="array" ref="L148">IFERROR(INDEX(_xlfn._xlws.FILTER(INDIRECT(L$1&amp;"!$E1:$E10000"),INDIRECT(L$1&amp;"!$a1:$a10000")=汇总!$A148),COUNTIF(INDIRECT(L$1&amp;"!$a1:$a10000"),汇总!$A148)),L147)</f>
        <v/>
      </c>
      <c r="M148" s="563">
        <f t="array" ref="M148">IFERROR(INDEX(_xlfn._xlws.FILTER(INDIRECT(M$1&amp;"!$E1:$E10000"),INDIRECT(M$1&amp;"!$a1:$a10000")=汇总!$A148),COUNTIF(INDIRECT(M$1&amp;"!$a1:$a10000"),汇总!$A148)),M147)</f>
        <v/>
      </c>
      <c r="N148" s="563">
        <f t="array" ref="N148">IFERROR(INDEX(_xlfn._xlws.FILTER(INDIRECT(N$1&amp;"!$E1:$E10000"),INDIRECT(N$1&amp;"!$a1:$a10000")=汇总!$A148),COUNTIF(INDIRECT(N$1&amp;"!$a1:$a10000"),汇总!$A148)),N147)</f>
        <v/>
      </c>
      <c r="O148" s="563">
        <f t="array" ref="O148">IFERROR(INDEX(_xlfn._xlws.FILTER(INDIRECT(O$1&amp;"!$E1:$E10000"),INDIRECT(O$1&amp;"!$a1:$a10000")=汇总!$A148),COUNTIF(INDIRECT(O$1&amp;"!$a1:$a10000"),汇总!$A148)),O147)</f>
        <v/>
      </c>
      <c r="P148" s="563">
        <f t="array" ref="P148">IFERROR(INDEX(_xlfn._xlws.FILTER(INDIRECT(P$1&amp;"!$E1:$E10000"),INDIRECT(P$1&amp;"!$a1:$a10000")=汇总!$A148),COUNTIF(INDIRECT(P$1&amp;"!$a1:$a10000"),汇总!$A148)),P147)</f>
        <v/>
      </c>
      <c r="Q148" s="563">
        <f t="array" ref="Q148">IFERROR(INDEX(_xlfn._xlws.FILTER(INDIRECT(Q$1&amp;"!$E1:$E10000"),INDIRECT(Q$1&amp;"!$a1:$a10000")=汇总!$A148),COUNTIF(INDIRECT(Q$1&amp;"!$a1:$a10000"),汇总!$A148)),Q147)</f>
        <v/>
      </c>
      <c r="R148" s="563">
        <f t="array" ref="R148">IFERROR(INDEX(_xlfn._xlws.FILTER(INDIRECT(R$1&amp;"!$E1:$E10000"),INDIRECT(R$1&amp;"!$a1:$a10000")=汇总!$A148),COUNTIF(INDIRECT(R$1&amp;"!$a1:$a10000"),汇总!$A148)),R147)</f>
        <v/>
      </c>
      <c r="S148" s="563">
        <f t="array" ref="S148">IFERROR(INDEX(_xlfn._xlws.FILTER(INDIRECT(S$1&amp;"!$E1:$E10000"),INDIRECT(S$1&amp;"!$a1:$a10000")=汇总!$A148),COUNTIF(INDIRECT(S$1&amp;"!$a1:$a10000"),汇总!$A148)),S147)</f>
        <v/>
      </c>
      <c r="T148" s="563">
        <f t="array" ref="T148">IFERROR(INDEX(_xlfn._xlws.FILTER(INDIRECT(T$1&amp;"!$E1:$E10000"),INDIRECT(T$1&amp;"!$a1:$a10000")=汇总!$A148),COUNTIF(INDIRECT(T$1&amp;"!$a1:$a10000"),汇总!$A148)),T147)</f>
        <v/>
      </c>
    </row>
    <row r="149">
      <c r="A149" s="1">
        <f>+A148+1</f>
        <v/>
      </c>
      <c r="B149" s="563">
        <f t="array" ref="B149">IFERROR(INDEX(_xlfn._xlws.FILTER(INDIRECT(B$1&amp;"!$E1:$E10000"),INDIRECT(B$1&amp;"!$a1:$a10000")=汇总!$A149),COUNTIF(INDIRECT(B$1&amp;"!$a1:$a10000"),汇总!$A149)),B148)</f>
        <v/>
      </c>
      <c r="C149" s="563">
        <f t="array" ref="C149">IFERROR(INDEX(_xlfn._xlws.FILTER(INDIRECT(C$1&amp;"!$E1:$E10000"),INDIRECT(C$1&amp;"!$a1:$a10000")=汇总!$A149),COUNTIF(INDIRECT(C$1&amp;"!$a1:$a10000"),汇总!$A149)),C148)</f>
        <v/>
      </c>
      <c r="D149" s="563">
        <f t="array" ref="D149">IFERROR(INDEX(_xlfn._xlws.FILTER(INDIRECT(D$1&amp;"!$E1:$E10000"),INDIRECT(D$1&amp;"!$a1:$a10000")=汇总!$A149),COUNTIF(INDIRECT(D$1&amp;"!$a1:$a10000"),汇总!$A149)),D148)</f>
        <v/>
      </c>
      <c r="E149" s="563">
        <f t="array" ref="E149">IFERROR(INDEX(_xlfn._xlws.FILTER(INDIRECT(E$1&amp;"!$E1:$E10000"),INDIRECT(E$1&amp;"!$a1:$a10000")=汇总!$A149),COUNTIF(INDIRECT(E$1&amp;"!$a1:$a10000"),汇总!$A149)),E148)</f>
        <v/>
      </c>
      <c r="F149" s="563">
        <f t="array" ref="F149">IFERROR(INDEX(_xlfn._xlws.FILTER(INDIRECT(F$1&amp;"!$E1:$E10000"),INDIRECT(F$1&amp;"!$a1:$a10000")=汇总!$A149),COUNTIF(INDIRECT(F$1&amp;"!$a1:$a10000"),汇总!$A149)),F148)</f>
        <v/>
      </c>
      <c r="G149" s="563">
        <f t="array" ref="G149">IFERROR(INDEX(_xlfn._xlws.FILTER(INDIRECT(G$1&amp;"!$E1:$E10000"),INDIRECT(G$1&amp;"!$a1:$a10000")=汇总!$A149),COUNTIF(INDIRECT(G$1&amp;"!$a1:$a10000"),汇总!$A149)),G148)</f>
        <v/>
      </c>
      <c r="H149" s="563">
        <f t="array" ref="H149">IFERROR(INDEX(_xlfn._xlws.FILTER(INDIRECT(H$1&amp;"!$E1:$E10000"),INDIRECT(H$1&amp;"!$a1:$a10000")=汇总!$A149),COUNTIF(INDIRECT(H$1&amp;"!$a1:$a10000"),汇总!$A149)),H148)</f>
        <v/>
      </c>
      <c r="I149" s="563">
        <f t="array" ref="I149">IFERROR(INDEX(_xlfn._xlws.FILTER(INDIRECT(I$1&amp;"!$E1:$E10000"),INDIRECT(I$1&amp;"!$a1:$a10000")=汇总!$A149),COUNTIF(INDIRECT(I$1&amp;"!$a1:$a10000"),汇总!$A149)),I148)</f>
        <v/>
      </c>
      <c r="J149" s="563">
        <f t="array" ref="J149">IFERROR(INDEX(_xlfn._xlws.FILTER(INDIRECT(J$1&amp;"!$E1:$E10000"),INDIRECT(J$1&amp;"!$a1:$a10000")=汇总!$A149),COUNTIF(INDIRECT(J$1&amp;"!$a1:$a10000"),汇总!$A149)),J148)</f>
        <v/>
      </c>
      <c r="K149" s="563">
        <f t="array" ref="K149">IFERROR(INDEX(_xlfn._xlws.FILTER(INDIRECT(K$1&amp;"!$E1:$E10000"),INDIRECT(K$1&amp;"!$a1:$a10000")=汇总!$A149),COUNTIF(INDIRECT(K$1&amp;"!$a1:$a10000"),汇总!$A149)),K148)</f>
        <v/>
      </c>
      <c r="L149" s="563">
        <f t="array" ref="L149">IFERROR(INDEX(_xlfn._xlws.FILTER(INDIRECT(L$1&amp;"!$E1:$E10000"),INDIRECT(L$1&amp;"!$a1:$a10000")=汇总!$A149),COUNTIF(INDIRECT(L$1&amp;"!$a1:$a10000"),汇总!$A149)),L148)</f>
        <v/>
      </c>
      <c r="M149" s="563">
        <f t="array" ref="M149">IFERROR(INDEX(_xlfn._xlws.FILTER(INDIRECT(M$1&amp;"!$E1:$E10000"),INDIRECT(M$1&amp;"!$a1:$a10000")=汇总!$A149),COUNTIF(INDIRECT(M$1&amp;"!$a1:$a10000"),汇总!$A149)),M148)</f>
        <v/>
      </c>
      <c r="N149" s="563">
        <f t="array" ref="N149">IFERROR(INDEX(_xlfn._xlws.FILTER(INDIRECT(N$1&amp;"!$E1:$E10000"),INDIRECT(N$1&amp;"!$a1:$a10000")=汇总!$A149),COUNTIF(INDIRECT(N$1&amp;"!$a1:$a10000"),汇总!$A149)),N148)</f>
        <v/>
      </c>
      <c r="O149" s="563">
        <f t="array" ref="O149">IFERROR(INDEX(_xlfn._xlws.FILTER(INDIRECT(O$1&amp;"!$E1:$E10000"),INDIRECT(O$1&amp;"!$a1:$a10000")=汇总!$A149),COUNTIF(INDIRECT(O$1&amp;"!$a1:$a10000"),汇总!$A149)),O148)</f>
        <v/>
      </c>
      <c r="P149" s="563">
        <f t="array" ref="P149">IFERROR(INDEX(_xlfn._xlws.FILTER(INDIRECT(P$1&amp;"!$E1:$E10000"),INDIRECT(P$1&amp;"!$a1:$a10000")=汇总!$A149),COUNTIF(INDIRECT(P$1&amp;"!$a1:$a10000"),汇总!$A149)),P148)</f>
        <v/>
      </c>
      <c r="Q149" s="563">
        <f t="array" ref="Q149">IFERROR(INDEX(_xlfn._xlws.FILTER(INDIRECT(Q$1&amp;"!$E1:$E10000"),INDIRECT(Q$1&amp;"!$a1:$a10000")=汇总!$A149),COUNTIF(INDIRECT(Q$1&amp;"!$a1:$a10000"),汇总!$A149)),Q148)</f>
        <v/>
      </c>
      <c r="R149" s="563">
        <f t="array" ref="R149">IFERROR(INDEX(_xlfn._xlws.FILTER(INDIRECT(R$1&amp;"!$E1:$E10000"),INDIRECT(R$1&amp;"!$a1:$a10000")=汇总!$A149),COUNTIF(INDIRECT(R$1&amp;"!$a1:$a10000"),汇总!$A149)),R148)</f>
        <v/>
      </c>
      <c r="S149" s="563">
        <f t="array" ref="S149">IFERROR(INDEX(_xlfn._xlws.FILTER(INDIRECT(S$1&amp;"!$E1:$E10000"),INDIRECT(S$1&amp;"!$a1:$a10000")=汇总!$A149),COUNTIF(INDIRECT(S$1&amp;"!$a1:$a10000"),汇总!$A149)),S148)</f>
        <v/>
      </c>
      <c r="T149" s="563">
        <f t="array" ref="T149">IFERROR(INDEX(_xlfn._xlws.FILTER(INDIRECT(T$1&amp;"!$E1:$E10000"),INDIRECT(T$1&amp;"!$a1:$a10000")=汇总!$A149),COUNTIF(INDIRECT(T$1&amp;"!$a1:$a10000"),汇总!$A149)),T148)</f>
        <v/>
      </c>
    </row>
    <row r="150">
      <c r="A150" s="1">
        <f>+A149+1</f>
        <v/>
      </c>
      <c r="B150" s="563">
        <f t="array" ref="B150">IFERROR(INDEX(_xlfn._xlws.FILTER(INDIRECT(B$1&amp;"!$E1:$E10000"),INDIRECT(B$1&amp;"!$a1:$a10000")=汇总!$A150),COUNTIF(INDIRECT(B$1&amp;"!$a1:$a10000"),汇总!$A150)),B149)</f>
        <v/>
      </c>
      <c r="C150" s="563">
        <f t="array" ref="C150">IFERROR(INDEX(_xlfn._xlws.FILTER(INDIRECT(C$1&amp;"!$E1:$E10000"),INDIRECT(C$1&amp;"!$a1:$a10000")=汇总!$A150),COUNTIF(INDIRECT(C$1&amp;"!$a1:$a10000"),汇总!$A150)),C149)</f>
        <v/>
      </c>
      <c r="D150" s="563">
        <f t="array" ref="D150">IFERROR(INDEX(_xlfn._xlws.FILTER(INDIRECT(D$1&amp;"!$E1:$E10000"),INDIRECT(D$1&amp;"!$a1:$a10000")=汇总!$A150),COUNTIF(INDIRECT(D$1&amp;"!$a1:$a10000"),汇总!$A150)),D149)</f>
        <v/>
      </c>
      <c r="E150" s="563">
        <f t="array" ref="E150">IFERROR(INDEX(_xlfn._xlws.FILTER(INDIRECT(E$1&amp;"!$E1:$E10000"),INDIRECT(E$1&amp;"!$a1:$a10000")=汇总!$A150),COUNTIF(INDIRECT(E$1&amp;"!$a1:$a10000"),汇总!$A150)),E149)</f>
        <v/>
      </c>
      <c r="F150" s="563">
        <f t="array" ref="F150">IFERROR(INDEX(_xlfn._xlws.FILTER(INDIRECT(F$1&amp;"!$E1:$E10000"),INDIRECT(F$1&amp;"!$a1:$a10000")=汇总!$A150),COUNTIF(INDIRECT(F$1&amp;"!$a1:$a10000"),汇总!$A150)),F149)</f>
        <v/>
      </c>
      <c r="G150" s="563">
        <f t="array" ref="G150">IFERROR(INDEX(_xlfn._xlws.FILTER(INDIRECT(G$1&amp;"!$E1:$E10000"),INDIRECT(G$1&amp;"!$a1:$a10000")=汇总!$A150),COUNTIF(INDIRECT(G$1&amp;"!$a1:$a10000"),汇总!$A150)),G149)</f>
        <v/>
      </c>
      <c r="H150" s="563">
        <f t="array" ref="H150">IFERROR(INDEX(_xlfn._xlws.FILTER(INDIRECT(H$1&amp;"!$E1:$E10000"),INDIRECT(H$1&amp;"!$a1:$a10000")=汇总!$A150),COUNTIF(INDIRECT(H$1&amp;"!$a1:$a10000"),汇总!$A150)),H149)</f>
        <v/>
      </c>
      <c r="I150" s="563">
        <f t="array" ref="I150">IFERROR(INDEX(_xlfn._xlws.FILTER(INDIRECT(I$1&amp;"!$E1:$E10000"),INDIRECT(I$1&amp;"!$a1:$a10000")=汇总!$A150),COUNTIF(INDIRECT(I$1&amp;"!$a1:$a10000"),汇总!$A150)),I149)</f>
        <v/>
      </c>
      <c r="J150" s="563">
        <f t="array" ref="J150">IFERROR(INDEX(_xlfn._xlws.FILTER(INDIRECT(J$1&amp;"!$E1:$E10000"),INDIRECT(J$1&amp;"!$a1:$a10000")=汇总!$A150),COUNTIF(INDIRECT(J$1&amp;"!$a1:$a10000"),汇总!$A150)),J149)</f>
        <v/>
      </c>
      <c r="K150" s="563">
        <f t="array" ref="K150">IFERROR(INDEX(_xlfn._xlws.FILTER(INDIRECT(K$1&amp;"!$E1:$E10000"),INDIRECT(K$1&amp;"!$a1:$a10000")=汇总!$A150),COUNTIF(INDIRECT(K$1&amp;"!$a1:$a10000"),汇总!$A150)),K149)</f>
        <v/>
      </c>
      <c r="L150" s="563">
        <f t="array" ref="L150">IFERROR(INDEX(_xlfn._xlws.FILTER(INDIRECT(L$1&amp;"!$E1:$E10000"),INDIRECT(L$1&amp;"!$a1:$a10000")=汇总!$A150),COUNTIF(INDIRECT(L$1&amp;"!$a1:$a10000"),汇总!$A150)),L149)</f>
        <v/>
      </c>
      <c r="M150" s="563">
        <f t="array" ref="M150">IFERROR(INDEX(_xlfn._xlws.FILTER(INDIRECT(M$1&amp;"!$E1:$E10000"),INDIRECT(M$1&amp;"!$a1:$a10000")=汇总!$A150),COUNTIF(INDIRECT(M$1&amp;"!$a1:$a10000"),汇总!$A150)),M149)</f>
        <v/>
      </c>
      <c r="N150" s="563">
        <f t="array" ref="N150">IFERROR(INDEX(_xlfn._xlws.FILTER(INDIRECT(N$1&amp;"!$E1:$E10000"),INDIRECT(N$1&amp;"!$a1:$a10000")=汇总!$A150),COUNTIF(INDIRECT(N$1&amp;"!$a1:$a10000"),汇总!$A150)),N149)</f>
        <v/>
      </c>
      <c r="O150" s="563">
        <f t="array" ref="O150">IFERROR(INDEX(_xlfn._xlws.FILTER(INDIRECT(O$1&amp;"!$E1:$E10000"),INDIRECT(O$1&amp;"!$a1:$a10000")=汇总!$A150),COUNTIF(INDIRECT(O$1&amp;"!$a1:$a10000"),汇总!$A150)),O149)</f>
        <v/>
      </c>
      <c r="P150" s="563">
        <f t="array" ref="P150">IFERROR(INDEX(_xlfn._xlws.FILTER(INDIRECT(P$1&amp;"!$E1:$E10000"),INDIRECT(P$1&amp;"!$a1:$a10000")=汇总!$A150),COUNTIF(INDIRECT(P$1&amp;"!$a1:$a10000"),汇总!$A150)),P149)</f>
        <v/>
      </c>
      <c r="Q150" s="563">
        <f t="array" ref="Q150">IFERROR(INDEX(_xlfn._xlws.FILTER(INDIRECT(Q$1&amp;"!$E1:$E10000"),INDIRECT(Q$1&amp;"!$a1:$a10000")=汇总!$A150),COUNTIF(INDIRECT(Q$1&amp;"!$a1:$a10000"),汇总!$A150)),Q149)</f>
        <v/>
      </c>
      <c r="R150" s="563">
        <f t="array" ref="R150">IFERROR(INDEX(_xlfn._xlws.FILTER(INDIRECT(R$1&amp;"!$E1:$E10000"),INDIRECT(R$1&amp;"!$a1:$a10000")=汇总!$A150),COUNTIF(INDIRECT(R$1&amp;"!$a1:$a10000"),汇总!$A150)),R149)</f>
        <v/>
      </c>
      <c r="S150" s="563">
        <f t="array" ref="S150">IFERROR(INDEX(_xlfn._xlws.FILTER(INDIRECT(S$1&amp;"!$E1:$E10000"),INDIRECT(S$1&amp;"!$a1:$a10000")=汇总!$A150),COUNTIF(INDIRECT(S$1&amp;"!$a1:$a10000"),汇总!$A150)),S149)</f>
        <v/>
      </c>
      <c r="T150" s="563">
        <f t="array" ref="T150">IFERROR(INDEX(_xlfn._xlws.FILTER(INDIRECT(T$1&amp;"!$E1:$E10000"),INDIRECT(T$1&amp;"!$a1:$a10000")=汇总!$A150),COUNTIF(INDIRECT(T$1&amp;"!$a1:$a10000"),汇总!$A150)),T149)</f>
        <v/>
      </c>
    </row>
    <row r="151">
      <c r="A151" s="1">
        <f>+A150+1</f>
        <v/>
      </c>
      <c r="B151" s="563">
        <f t="array" ref="B151">IFERROR(INDEX(_xlfn._xlws.FILTER(INDIRECT(B$1&amp;"!$E1:$E10000"),INDIRECT(B$1&amp;"!$a1:$a10000")=汇总!$A151),COUNTIF(INDIRECT(B$1&amp;"!$a1:$a10000"),汇总!$A151)),B150)</f>
        <v/>
      </c>
      <c r="C151" s="563">
        <f t="array" ref="C151">IFERROR(INDEX(_xlfn._xlws.FILTER(INDIRECT(C$1&amp;"!$E1:$E10000"),INDIRECT(C$1&amp;"!$a1:$a10000")=汇总!$A151),COUNTIF(INDIRECT(C$1&amp;"!$a1:$a10000"),汇总!$A151)),C150)</f>
        <v/>
      </c>
      <c r="D151" s="563">
        <f t="array" ref="D151">IFERROR(INDEX(_xlfn._xlws.FILTER(INDIRECT(D$1&amp;"!$E1:$E10000"),INDIRECT(D$1&amp;"!$a1:$a10000")=汇总!$A151),COUNTIF(INDIRECT(D$1&amp;"!$a1:$a10000"),汇总!$A151)),D150)</f>
        <v/>
      </c>
      <c r="E151" s="563">
        <f t="array" ref="E151">IFERROR(INDEX(_xlfn._xlws.FILTER(INDIRECT(E$1&amp;"!$E1:$E10000"),INDIRECT(E$1&amp;"!$a1:$a10000")=汇总!$A151),COUNTIF(INDIRECT(E$1&amp;"!$a1:$a10000"),汇总!$A151)),E150)</f>
        <v/>
      </c>
      <c r="F151" s="563">
        <f t="array" ref="F151">IFERROR(INDEX(_xlfn._xlws.FILTER(INDIRECT(F$1&amp;"!$E1:$E10000"),INDIRECT(F$1&amp;"!$a1:$a10000")=汇总!$A151),COUNTIF(INDIRECT(F$1&amp;"!$a1:$a10000"),汇总!$A151)),F150)</f>
        <v/>
      </c>
      <c r="G151" s="563">
        <f t="array" ref="G151">IFERROR(INDEX(_xlfn._xlws.FILTER(INDIRECT(G$1&amp;"!$E1:$E10000"),INDIRECT(G$1&amp;"!$a1:$a10000")=汇总!$A151),COUNTIF(INDIRECT(G$1&amp;"!$a1:$a10000"),汇总!$A151)),G150)</f>
        <v/>
      </c>
      <c r="H151" s="563">
        <f t="array" ref="H151">IFERROR(INDEX(_xlfn._xlws.FILTER(INDIRECT(H$1&amp;"!$E1:$E10000"),INDIRECT(H$1&amp;"!$a1:$a10000")=汇总!$A151),COUNTIF(INDIRECT(H$1&amp;"!$a1:$a10000"),汇总!$A151)),H150)</f>
        <v/>
      </c>
      <c r="I151" s="563">
        <f t="array" ref="I151">IFERROR(INDEX(_xlfn._xlws.FILTER(INDIRECT(I$1&amp;"!$E1:$E10000"),INDIRECT(I$1&amp;"!$a1:$a10000")=汇总!$A151),COUNTIF(INDIRECT(I$1&amp;"!$a1:$a10000"),汇总!$A151)),I150)</f>
        <v/>
      </c>
      <c r="J151" s="563">
        <f t="array" ref="J151">IFERROR(INDEX(_xlfn._xlws.FILTER(INDIRECT(J$1&amp;"!$E1:$E10000"),INDIRECT(J$1&amp;"!$a1:$a10000")=汇总!$A151),COUNTIF(INDIRECT(J$1&amp;"!$a1:$a10000"),汇总!$A151)),J150)</f>
        <v/>
      </c>
      <c r="K151" s="563">
        <f t="array" ref="K151">IFERROR(INDEX(_xlfn._xlws.FILTER(INDIRECT(K$1&amp;"!$E1:$E10000"),INDIRECT(K$1&amp;"!$a1:$a10000")=汇总!$A151),COUNTIF(INDIRECT(K$1&amp;"!$a1:$a10000"),汇总!$A151)),K150)</f>
        <v/>
      </c>
      <c r="L151" s="563">
        <f t="array" ref="L151">IFERROR(INDEX(_xlfn._xlws.FILTER(INDIRECT(L$1&amp;"!$E1:$E10000"),INDIRECT(L$1&amp;"!$a1:$a10000")=汇总!$A151),COUNTIF(INDIRECT(L$1&amp;"!$a1:$a10000"),汇总!$A151)),L150)</f>
        <v/>
      </c>
      <c r="M151" s="563">
        <f t="array" ref="M151">IFERROR(INDEX(_xlfn._xlws.FILTER(INDIRECT(M$1&amp;"!$E1:$E10000"),INDIRECT(M$1&amp;"!$a1:$a10000")=汇总!$A151),COUNTIF(INDIRECT(M$1&amp;"!$a1:$a10000"),汇总!$A151)),M150)</f>
        <v/>
      </c>
      <c r="N151" s="563">
        <f t="array" ref="N151">IFERROR(INDEX(_xlfn._xlws.FILTER(INDIRECT(N$1&amp;"!$E1:$E10000"),INDIRECT(N$1&amp;"!$a1:$a10000")=汇总!$A151),COUNTIF(INDIRECT(N$1&amp;"!$a1:$a10000"),汇总!$A151)),N150)</f>
        <v/>
      </c>
      <c r="O151" s="563">
        <f t="array" ref="O151">IFERROR(INDEX(_xlfn._xlws.FILTER(INDIRECT(O$1&amp;"!$E1:$E10000"),INDIRECT(O$1&amp;"!$a1:$a10000")=汇总!$A151),COUNTIF(INDIRECT(O$1&amp;"!$a1:$a10000"),汇总!$A151)),O150)</f>
        <v/>
      </c>
      <c r="P151" s="563">
        <f t="array" ref="P151">IFERROR(INDEX(_xlfn._xlws.FILTER(INDIRECT(P$1&amp;"!$E1:$E10000"),INDIRECT(P$1&amp;"!$a1:$a10000")=汇总!$A151),COUNTIF(INDIRECT(P$1&amp;"!$a1:$a10000"),汇总!$A151)),P150)</f>
        <v/>
      </c>
      <c r="Q151" s="563">
        <f t="array" ref="Q151">IFERROR(INDEX(_xlfn._xlws.FILTER(INDIRECT(Q$1&amp;"!$E1:$E10000"),INDIRECT(Q$1&amp;"!$a1:$a10000")=汇总!$A151),COUNTIF(INDIRECT(Q$1&amp;"!$a1:$a10000"),汇总!$A151)),Q150)</f>
        <v/>
      </c>
      <c r="R151" s="563">
        <f t="array" ref="R151">IFERROR(INDEX(_xlfn._xlws.FILTER(INDIRECT(R$1&amp;"!$E1:$E10000"),INDIRECT(R$1&amp;"!$a1:$a10000")=汇总!$A151),COUNTIF(INDIRECT(R$1&amp;"!$a1:$a10000"),汇总!$A151)),R150)</f>
        <v/>
      </c>
      <c r="S151" s="563">
        <f t="array" ref="S151">IFERROR(INDEX(_xlfn._xlws.FILTER(INDIRECT(S$1&amp;"!$E1:$E10000"),INDIRECT(S$1&amp;"!$a1:$a10000")=汇总!$A151),COUNTIF(INDIRECT(S$1&amp;"!$a1:$a10000"),汇总!$A151)),S150)</f>
        <v/>
      </c>
      <c r="T151" s="563">
        <f t="array" ref="T151">IFERROR(INDEX(_xlfn._xlws.FILTER(INDIRECT(T$1&amp;"!$E1:$E10000"),INDIRECT(T$1&amp;"!$a1:$a10000")=汇总!$A151),COUNTIF(INDIRECT(T$1&amp;"!$a1:$a10000"),汇总!$A151)),T150)</f>
        <v/>
      </c>
    </row>
    <row r="152">
      <c r="A152" s="1">
        <f>+A151+1</f>
        <v/>
      </c>
      <c r="B152" s="563">
        <f t="array" ref="B152">IFERROR(INDEX(_xlfn._xlws.FILTER(INDIRECT(B$1&amp;"!$E1:$E10000"),INDIRECT(B$1&amp;"!$a1:$a10000")=汇总!$A152),COUNTIF(INDIRECT(B$1&amp;"!$a1:$a10000"),汇总!$A152)),B151)</f>
        <v/>
      </c>
      <c r="C152" s="563">
        <f t="array" ref="C152">IFERROR(INDEX(_xlfn._xlws.FILTER(INDIRECT(C$1&amp;"!$E1:$E10000"),INDIRECT(C$1&amp;"!$a1:$a10000")=汇总!$A152),COUNTIF(INDIRECT(C$1&amp;"!$a1:$a10000"),汇总!$A152)),C151)</f>
        <v/>
      </c>
      <c r="D152" s="563">
        <f t="array" ref="D152">IFERROR(INDEX(_xlfn._xlws.FILTER(INDIRECT(D$1&amp;"!$E1:$E10000"),INDIRECT(D$1&amp;"!$a1:$a10000")=汇总!$A152),COUNTIF(INDIRECT(D$1&amp;"!$a1:$a10000"),汇总!$A152)),D151)</f>
        <v/>
      </c>
      <c r="E152" s="563">
        <f t="array" ref="E152">IFERROR(INDEX(_xlfn._xlws.FILTER(INDIRECT(E$1&amp;"!$E1:$E10000"),INDIRECT(E$1&amp;"!$a1:$a10000")=汇总!$A152),COUNTIF(INDIRECT(E$1&amp;"!$a1:$a10000"),汇总!$A152)),E151)</f>
        <v/>
      </c>
      <c r="F152" s="563">
        <f t="array" ref="F152">IFERROR(INDEX(_xlfn._xlws.FILTER(INDIRECT(F$1&amp;"!$E1:$E10000"),INDIRECT(F$1&amp;"!$a1:$a10000")=汇总!$A152),COUNTIF(INDIRECT(F$1&amp;"!$a1:$a10000"),汇总!$A152)),F151)</f>
        <v/>
      </c>
      <c r="G152" s="563">
        <f t="array" ref="G152">IFERROR(INDEX(_xlfn._xlws.FILTER(INDIRECT(G$1&amp;"!$E1:$E10000"),INDIRECT(G$1&amp;"!$a1:$a10000")=汇总!$A152),COUNTIF(INDIRECT(G$1&amp;"!$a1:$a10000"),汇总!$A152)),G151)</f>
        <v/>
      </c>
      <c r="H152" s="563">
        <f t="array" ref="H152">IFERROR(INDEX(_xlfn._xlws.FILTER(INDIRECT(H$1&amp;"!$E1:$E10000"),INDIRECT(H$1&amp;"!$a1:$a10000")=汇总!$A152),COUNTIF(INDIRECT(H$1&amp;"!$a1:$a10000"),汇总!$A152)),H151)</f>
        <v/>
      </c>
      <c r="I152" s="563">
        <f t="array" ref="I152">IFERROR(INDEX(_xlfn._xlws.FILTER(INDIRECT(I$1&amp;"!$E1:$E10000"),INDIRECT(I$1&amp;"!$a1:$a10000")=汇总!$A152),COUNTIF(INDIRECT(I$1&amp;"!$a1:$a10000"),汇总!$A152)),I151)</f>
        <v/>
      </c>
      <c r="J152" s="563">
        <f t="array" ref="J152">IFERROR(INDEX(_xlfn._xlws.FILTER(INDIRECT(J$1&amp;"!$E1:$E10000"),INDIRECT(J$1&amp;"!$a1:$a10000")=汇总!$A152),COUNTIF(INDIRECT(J$1&amp;"!$a1:$a10000"),汇总!$A152)),J151)</f>
        <v/>
      </c>
      <c r="K152" s="563">
        <f t="array" ref="K152">IFERROR(INDEX(_xlfn._xlws.FILTER(INDIRECT(K$1&amp;"!$E1:$E10000"),INDIRECT(K$1&amp;"!$a1:$a10000")=汇总!$A152),COUNTIF(INDIRECT(K$1&amp;"!$a1:$a10000"),汇总!$A152)),K151)</f>
        <v/>
      </c>
      <c r="L152" s="563">
        <f t="array" ref="L152">IFERROR(INDEX(_xlfn._xlws.FILTER(INDIRECT(L$1&amp;"!$E1:$E10000"),INDIRECT(L$1&amp;"!$a1:$a10000")=汇总!$A152),COUNTIF(INDIRECT(L$1&amp;"!$a1:$a10000"),汇总!$A152)),L151)</f>
        <v/>
      </c>
      <c r="M152" s="563">
        <f t="array" ref="M152">IFERROR(INDEX(_xlfn._xlws.FILTER(INDIRECT(M$1&amp;"!$E1:$E10000"),INDIRECT(M$1&amp;"!$a1:$a10000")=汇总!$A152),COUNTIF(INDIRECT(M$1&amp;"!$a1:$a10000"),汇总!$A152)),M151)</f>
        <v/>
      </c>
      <c r="N152" s="563">
        <f t="array" ref="N152">IFERROR(INDEX(_xlfn._xlws.FILTER(INDIRECT(N$1&amp;"!$E1:$E10000"),INDIRECT(N$1&amp;"!$a1:$a10000")=汇总!$A152),COUNTIF(INDIRECT(N$1&amp;"!$a1:$a10000"),汇总!$A152)),N151)</f>
        <v/>
      </c>
      <c r="O152" s="563">
        <f t="array" ref="O152">IFERROR(INDEX(_xlfn._xlws.FILTER(INDIRECT(O$1&amp;"!$E1:$E10000"),INDIRECT(O$1&amp;"!$a1:$a10000")=汇总!$A152),COUNTIF(INDIRECT(O$1&amp;"!$a1:$a10000"),汇总!$A152)),O151)</f>
        <v/>
      </c>
      <c r="P152" s="563">
        <f t="array" ref="P152">IFERROR(INDEX(_xlfn._xlws.FILTER(INDIRECT(P$1&amp;"!$E1:$E10000"),INDIRECT(P$1&amp;"!$a1:$a10000")=汇总!$A152),COUNTIF(INDIRECT(P$1&amp;"!$a1:$a10000"),汇总!$A152)),P151)</f>
        <v/>
      </c>
      <c r="Q152" s="563">
        <f t="array" ref="Q152">IFERROR(INDEX(_xlfn._xlws.FILTER(INDIRECT(Q$1&amp;"!$E1:$E10000"),INDIRECT(Q$1&amp;"!$a1:$a10000")=汇总!$A152),COUNTIF(INDIRECT(Q$1&amp;"!$a1:$a10000"),汇总!$A152)),Q151)</f>
        <v/>
      </c>
      <c r="R152" s="563">
        <f t="array" ref="R152">IFERROR(INDEX(_xlfn._xlws.FILTER(INDIRECT(R$1&amp;"!$E1:$E10000"),INDIRECT(R$1&amp;"!$a1:$a10000")=汇总!$A152),COUNTIF(INDIRECT(R$1&amp;"!$a1:$a10000"),汇总!$A152)),R151)</f>
        <v/>
      </c>
      <c r="S152" s="563">
        <f t="array" ref="S152">IFERROR(INDEX(_xlfn._xlws.FILTER(INDIRECT(S$1&amp;"!$E1:$E10000"),INDIRECT(S$1&amp;"!$a1:$a10000")=汇总!$A152),COUNTIF(INDIRECT(S$1&amp;"!$a1:$a10000"),汇总!$A152)),S151)</f>
        <v/>
      </c>
      <c r="T152" s="563">
        <f t="array" ref="T152">IFERROR(INDEX(_xlfn._xlws.FILTER(INDIRECT(T$1&amp;"!$E1:$E10000"),INDIRECT(T$1&amp;"!$a1:$a10000")=汇总!$A152),COUNTIF(INDIRECT(T$1&amp;"!$a1:$a10000"),汇总!$A152)),T151)</f>
        <v/>
      </c>
    </row>
    <row r="153">
      <c r="A153" s="1">
        <f>+A152+1</f>
        <v/>
      </c>
      <c r="B153" s="563">
        <f t="array" ref="B153">IFERROR(INDEX(_xlfn._xlws.FILTER(INDIRECT(B$1&amp;"!$E1:$E10000"),INDIRECT(B$1&amp;"!$a1:$a10000")=汇总!$A153),COUNTIF(INDIRECT(B$1&amp;"!$a1:$a10000"),汇总!$A153)),B152)</f>
        <v/>
      </c>
      <c r="C153" s="563">
        <f t="array" ref="C153">IFERROR(INDEX(_xlfn._xlws.FILTER(INDIRECT(C$1&amp;"!$E1:$E10000"),INDIRECT(C$1&amp;"!$a1:$a10000")=汇总!$A153),COUNTIF(INDIRECT(C$1&amp;"!$a1:$a10000"),汇总!$A153)),C152)</f>
        <v/>
      </c>
      <c r="D153" s="563">
        <f t="array" ref="D153">IFERROR(INDEX(_xlfn._xlws.FILTER(INDIRECT(D$1&amp;"!$E1:$E10000"),INDIRECT(D$1&amp;"!$a1:$a10000")=汇总!$A153),COUNTIF(INDIRECT(D$1&amp;"!$a1:$a10000"),汇总!$A153)),D152)</f>
        <v/>
      </c>
      <c r="E153" s="563">
        <f t="array" ref="E153">IFERROR(INDEX(_xlfn._xlws.FILTER(INDIRECT(E$1&amp;"!$E1:$E10000"),INDIRECT(E$1&amp;"!$a1:$a10000")=汇总!$A153),COUNTIF(INDIRECT(E$1&amp;"!$a1:$a10000"),汇总!$A153)),E152)</f>
        <v/>
      </c>
      <c r="F153" s="563">
        <f t="array" ref="F153">IFERROR(INDEX(_xlfn._xlws.FILTER(INDIRECT(F$1&amp;"!$E1:$E10000"),INDIRECT(F$1&amp;"!$a1:$a10000")=汇总!$A153),COUNTIF(INDIRECT(F$1&amp;"!$a1:$a10000"),汇总!$A153)),F152)</f>
        <v/>
      </c>
      <c r="G153" s="563">
        <f t="array" ref="G153">IFERROR(INDEX(_xlfn._xlws.FILTER(INDIRECT(G$1&amp;"!$E1:$E10000"),INDIRECT(G$1&amp;"!$a1:$a10000")=汇总!$A153),COUNTIF(INDIRECT(G$1&amp;"!$a1:$a10000"),汇总!$A153)),G152)</f>
        <v/>
      </c>
      <c r="H153" s="563">
        <f t="array" ref="H153">IFERROR(INDEX(_xlfn._xlws.FILTER(INDIRECT(H$1&amp;"!$E1:$E10000"),INDIRECT(H$1&amp;"!$a1:$a10000")=汇总!$A153),COUNTIF(INDIRECT(H$1&amp;"!$a1:$a10000"),汇总!$A153)),H152)</f>
        <v/>
      </c>
      <c r="I153" s="563">
        <f t="array" ref="I153">IFERROR(INDEX(_xlfn._xlws.FILTER(INDIRECT(I$1&amp;"!$E1:$E10000"),INDIRECT(I$1&amp;"!$a1:$a10000")=汇总!$A153),COUNTIF(INDIRECT(I$1&amp;"!$a1:$a10000"),汇总!$A153)),I152)</f>
        <v/>
      </c>
      <c r="J153" s="563">
        <f t="array" ref="J153">IFERROR(INDEX(_xlfn._xlws.FILTER(INDIRECT(J$1&amp;"!$E1:$E10000"),INDIRECT(J$1&amp;"!$a1:$a10000")=汇总!$A153),COUNTIF(INDIRECT(J$1&amp;"!$a1:$a10000"),汇总!$A153)),J152)</f>
        <v/>
      </c>
      <c r="K153" s="563">
        <f t="array" ref="K153">IFERROR(INDEX(_xlfn._xlws.FILTER(INDIRECT(K$1&amp;"!$E1:$E10000"),INDIRECT(K$1&amp;"!$a1:$a10000")=汇总!$A153),COUNTIF(INDIRECT(K$1&amp;"!$a1:$a10000"),汇总!$A153)),K152)</f>
        <v/>
      </c>
      <c r="L153" s="563">
        <f t="array" ref="L153">IFERROR(INDEX(_xlfn._xlws.FILTER(INDIRECT(L$1&amp;"!$E1:$E10000"),INDIRECT(L$1&amp;"!$a1:$a10000")=汇总!$A153),COUNTIF(INDIRECT(L$1&amp;"!$a1:$a10000"),汇总!$A153)),L152)</f>
        <v/>
      </c>
      <c r="M153" s="563">
        <f t="array" ref="M153">IFERROR(INDEX(_xlfn._xlws.FILTER(INDIRECT(M$1&amp;"!$E1:$E10000"),INDIRECT(M$1&amp;"!$a1:$a10000")=汇总!$A153),COUNTIF(INDIRECT(M$1&amp;"!$a1:$a10000"),汇总!$A153)),M152)</f>
        <v/>
      </c>
      <c r="N153" s="563">
        <f t="array" ref="N153">IFERROR(INDEX(_xlfn._xlws.FILTER(INDIRECT(N$1&amp;"!$E1:$E10000"),INDIRECT(N$1&amp;"!$a1:$a10000")=汇总!$A153),COUNTIF(INDIRECT(N$1&amp;"!$a1:$a10000"),汇总!$A153)),N152)</f>
        <v/>
      </c>
      <c r="O153" s="563">
        <f t="array" ref="O153">IFERROR(INDEX(_xlfn._xlws.FILTER(INDIRECT(O$1&amp;"!$E1:$E10000"),INDIRECT(O$1&amp;"!$a1:$a10000")=汇总!$A153),COUNTIF(INDIRECT(O$1&amp;"!$a1:$a10000"),汇总!$A153)),O152)</f>
        <v/>
      </c>
      <c r="P153" s="563">
        <f t="array" ref="P153">IFERROR(INDEX(_xlfn._xlws.FILTER(INDIRECT(P$1&amp;"!$E1:$E10000"),INDIRECT(P$1&amp;"!$a1:$a10000")=汇总!$A153),COUNTIF(INDIRECT(P$1&amp;"!$a1:$a10000"),汇总!$A153)),P152)</f>
        <v/>
      </c>
      <c r="Q153" s="563">
        <f t="array" ref="Q153">IFERROR(INDEX(_xlfn._xlws.FILTER(INDIRECT(Q$1&amp;"!$E1:$E10000"),INDIRECT(Q$1&amp;"!$a1:$a10000")=汇总!$A153),COUNTIF(INDIRECT(Q$1&amp;"!$a1:$a10000"),汇总!$A153)),Q152)</f>
        <v/>
      </c>
      <c r="R153" s="563">
        <f t="array" ref="R153">IFERROR(INDEX(_xlfn._xlws.FILTER(INDIRECT(R$1&amp;"!$E1:$E10000"),INDIRECT(R$1&amp;"!$a1:$a10000")=汇总!$A153),COUNTIF(INDIRECT(R$1&amp;"!$a1:$a10000"),汇总!$A153)),R152)</f>
        <v/>
      </c>
      <c r="S153" s="563">
        <f t="array" ref="S153">IFERROR(INDEX(_xlfn._xlws.FILTER(INDIRECT(S$1&amp;"!$E1:$E10000"),INDIRECT(S$1&amp;"!$a1:$a10000")=汇总!$A153),COUNTIF(INDIRECT(S$1&amp;"!$a1:$a10000"),汇总!$A153)),S152)</f>
        <v/>
      </c>
      <c r="T153" s="563">
        <f t="array" ref="T153">IFERROR(INDEX(_xlfn._xlws.FILTER(INDIRECT(T$1&amp;"!$E1:$E10000"),INDIRECT(T$1&amp;"!$a1:$a10000")=汇总!$A153),COUNTIF(INDIRECT(T$1&amp;"!$a1:$a10000"),汇总!$A153)),T152)</f>
        <v/>
      </c>
    </row>
    <row r="154">
      <c r="A154" s="1">
        <f>+A153+1</f>
        <v/>
      </c>
      <c r="B154" s="563">
        <f t="array" ref="B154">IFERROR(INDEX(_xlfn._xlws.FILTER(INDIRECT(B$1&amp;"!$E1:$E10000"),INDIRECT(B$1&amp;"!$a1:$a10000")=汇总!$A154),COUNTIF(INDIRECT(B$1&amp;"!$a1:$a10000"),汇总!$A154)),B153)</f>
        <v/>
      </c>
      <c r="C154" s="563">
        <f t="array" ref="C154">IFERROR(INDEX(_xlfn._xlws.FILTER(INDIRECT(C$1&amp;"!$E1:$E10000"),INDIRECT(C$1&amp;"!$a1:$a10000")=汇总!$A154),COUNTIF(INDIRECT(C$1&amp;"!$a1:$a10000"),汇总!$A154)),C153)</f>
        <v/>
      </c>
      <c r="D154" s="563">
        <f t="array" ref="D154">IFERROR(INDEX(_xlfn._xlws.FILTER(INDIRECT(D$1&amp;"!$E1:$E10000"),INDIRECT(D$1&amp;"!$a1:$a10000")=汇总!$A154),COUNTIF(INDIRECT(D$1&amp;"!$a1:$a10000"),汇总!$A154)),D153)</f>
        <v/>
      </c>
      <c r="E154" s="563">
        <f t="array" ref="E154">IFERROR(INDEX(_xlfn._xlws.FILTER(INDIRECT(E$1&amp;"!$E1:$E10000"),INDIRECT(E$1&amp;"!$a1:$a10000")=汇总!$A154),COUNTIF(INDIRECT(E$1&amp;"!$a1:$a10000"),汇总!$A154)),E153)</f>
        <v/>
      </c>
      <c r="F154" s="563">
        <f t="array" ref="F154">IFERROR(INDEX(_xlfn._xlws.FILTER(INDIRECT(F$1&amp;"!$E1:$E10000"),INDIRECT(F$1&amp;"!$a1:$a10000")=汇总!$A154),COUNTIF(INDIRECT(F$1&amp;"!$a1:$a10000"),汇总!$A154)),F153)</f>
        <v/>
      </c>
      <c r="G154" s="563">
        <f t="array" ref="G154">IFERROR(INDEX(_xlfn._xlws.FILTER(INDIRECT(G$1&amp;"!$E1:$E10000"),INDIRECT(G$1&amp;"!$a1:$a10000")=汇总!$A154),COUNTIF(INDIRECT(G$1&amp;"!$a1:$a10000"),汇总!$A154)),G153)</f>
        <v/>
      </c>
      <c r="H154" s="563">
        <f t="array" ref="H154">IFERROR(INDEX(_xlfn._xlws.FILTER(INDIRECT(H$1&amp;"!$E1:$E10000"),INDIRECT(H$1&amp;"!$a1:$a10000")=汇总!$A154),COUNTIF(INDIRECT(H$1&amp;"!$a1:$a10000"),汇总!$A154)),H153)</f>
        <v/>
      </c>
      <c r="I154" s="563">
        <f t="array" ref="I154">IFERROR(INDEX(_xlfn._xlws.FILTER(INDIRECT(I$1&amp;"!$E1:$E10000"),INDIRECT(I$1&amp;"!$a1:$a10000")=汇总!$A154),COUNTIF(INDIRECT(I$1&amp;"!$a1:$a10000"),汇总!$A154)),I153)</f>
        <v/>
      </c>
      <c r="J154" s="563">
        <f t="array" ref="J154">IFERROR(INDEX(_xlfn._xlws.FILTER(INDIRECT(J$1&amp;"!$E1:$E10000"),INDIRECT(J$1&amp;"!$a1:$a10000")=汇总!$A154),COUNTIF(INDIRECT(J$1&amp;"!$a1:$a10000"),汇总!$A154)),J153)</f>
        <v/>
      </c>
      <c r="K154" s="563">
        <f t="array" ref="K154">IFERROR(INDEX(_xlfn._xlws.FILTER(INDIRECT(K$1&amp;"!$E1:$E10000"),INDIRECT(K$1&amp;"!$a1:$a10000")=汇总!$A154),COUNTIF(INDIRECT(K$1&amp;"!$a1:$a10000"),汇总!$A154)),K153)</f>
        <v/>
      </c>
      <c r="L154" s="563">
        <f t="array" ref="L154">IFERROR(INDEX(_xlfn._xlws.FILTER(INDIRECT(L$1&amp;"!$E1:$E10000"),INDIRECT(L$1&amp;"!$a1:$a10000")=汇总!$A154),COUNTIF(INDIRECT(L$1&amp;"!$a1:$a10000"),汇总!$A154)),L153)</f>
        <v/>
      </c>
      <c r="M154" s="563">
        <f t="array" ref="M154">IFERROR(INDEX(_xlfn._xlws.FILTER(INDIRECT(M$1&amp;"!$E1:$E10000"),INDIRECT(M$1&amp;"!$a1:$a10000")=汇总!$A154),COUNTIF(INDIRECT(M$1&amp;"!$a1:$a10000"),汇总!$A154)),M153)</f>
        <v/>
      </c>
      <c r="N154" s="563">
        <f t="array" ref="N154">IFERROR(INDEX(_xlfn._xlws.FILTER(INDIRECT(N$1&amp;"!$E1:$E10000"),INDIRECT(N$1&amp;"!$a1:$a10000")=汇总!$A154),COUNTIF(INDIRECT(N$1&amp;"!$a1:$a10000"),汇总!$A154)),N153)</f>
        <v/>
      </c>
      <c r="O154" s="563">
        <f t="array" ref="O154">IFERROR(INDEX(_xlfn._xlws.FILTER(INDIRECT(O$1&amp;"!$E1:$E10000"),INDIRECT(O$1&amp;"!$a1:$a10000")=汇总!$A154),COUNTIF(INDIRECT(O$1&amp;"!$a1:$a10000"),汇总!$A154)),O153)</f>
        <v/>
      </c>
      <c r="P154" s="563">
        <f t="array" ref="P154">IFERROR(INDEX(_xlfn._xlws.FILTER(INDIRECT(P$1&amp;"!$E1:$E10000"),INDIRECT(P$1&amp;"!$a1:$a10000")=汇总!$A154),COUNTIF(INDIRECT(P$1&amp;"!$a1:$a10000"),汇总!$A154)),P153)</f>
        <v/>
      </c>
      <c r="Q154" s="563">
        <f t="array" ref="Q154">IFERROR(INDEX(_xlfn._xlws.FILTER(INDIRECT(Q$1&amp;"!$E1:$E10000"),INDIRECT(Q$1&amp;"!$a1:$a10000")=汇总!$A154),COUNTIF(INDIRECT(Q$1&amp;"!$a1:$a10000"),汇总!$A154)),Q153)</f>
        <v/>
      </c>
      <c r="R154" s="563">
        <f t="array" ref="R154">IFERROR(INDEX(_xlfn._xlws.FILTER(INDIRECT(R$1&amp;"!$E1:$E10000"),INDIRECT(R$1&amp;"!$a1:$a10000")=汇总!$A154),COUNTIF(INDIRECT(R$1&amp;"!$a1:$a10000"),汇总!$A154)),R153)</f>
        <v/>
      </c>
      <c r="S154" s="563">
        <f t="array" ref="S154">IFERROR(INDEX(_xlfn._xlws.FILTER(INDIRECT(S$1&amp;"!$E1:$E10000"),INDIRECT(S$1&amp;"!$a1:$a10000")=汇总!$A154),COUNTIF(INDIRECT(S$1&amp;"!$a1:$a10000"),汇总!$A154)),S153)</f>
        <v/>
      </c>
      <c r="T154" s="563">
        <f t="array" ref="T154">IFERROR(INDEX(_xlfn._xlws.FILTER(INDIRECT(T$1&amp;"!$E1:$E10000"),INDIRECT(T$1&amp;"!$a1:$a10000")=汇总!$A154),COUNTIF(INDIRECT(T$1&amp;"!$a1:$a10000"),汇总!$A154)),T153)</f>
        <v/>
      </c>
    </row>
    <row r="155">
      <c r="A155" s="1">
        <f>+A154+1</f>
        <v/>
      </c>
      <c r="B155" s="563">
        <f t="array" ref="B155">IFERROR(INDEX(_xlfn._xlws.FILTER(INDIRECT(B$1&amp;"!$E1:$E10000"),INDIRECT(B$1&amp;"!$a1:$a10000")=汇总!$A155),COUNTIF(INDIRECT(B$1&amp;"!$a1:$a10000"),汇总!$A155)),B154)</f>
        <v/>
      </c>
      <c r="C155" s="563">
        <f t="array" ref="C155">IFERROR(INDEX(_xlfn._xlws.FILTER(INDIRECT(C$1&amp;"!$E1:$E10000"),INDIRECT(C$1&amp;"!$a1:$a10000")=汇总!$A155),COUNTIF(INDIRECT(C$1&amp;"!$a1:$a10000"),汇总!$A155)),C154)</f>
        <v/>
      </c>
      <c r="D155" s="563">
        <f t="array" ref="D155">IFERROR(INDEX(_xlfn._xlws.FILTER(INDIRECT(D$1&amp;"!$E1:$E10000"),INDIRECT(D$1&amp;"!$a1:$a10000")=汇总!$A155),COUNTIF(INDIRECT(D$1&amp;"!$a1:$a10000"),汇总!$A155)),D154)</f>
        <v/>
      </c>
      <c r="E155" s="563">
        <f t="array" ref="E155">IFERROR(INDEX(_xlfn._xlws.FILTER(INDIRECT(E$1&amp;"!$E1:$E10000"),INDIRECT(E$1&amp;"!$a1:$a10000")=汇总!$A155),COUNTIF(INDIRECT(E$1&amp;"!$a1:$a10000"),汇总!$A155)),E154)</f>
        <v/>
      </c>
      <c r="F155" s="563">
        <f t="array" ref="F155">IFERROR(INDEX(_xlfn._xlws.FILTER(INDIRECT(F$1&amp;"!$E1:$E10000"),INDIRECT(F$1&amp;"!$a1:$a10000")=汇总!$A155),COUNTIF(INDIRECT(F$1&amp;"!$a1:$a10000"),汇总!$A155)),F154)</f>
        <v/>
      </c>
      <c r="G155" s="563">
        <f t="array" ref="G155">IFERROR(INDEX(_xlfn._xlws.FILTER(INDIRECT(G$1&amp;"!$E1:$E10000"),INDIRECT(G$1&amp;"!$a1:$a10000")=汇总!$A155),COUNTIF(INDIRECT(G$1&amp;"!$a1:$a10000"),汇总!$A155)),G154)</f>
        <v/>
      </c>
      <c r="H155" s="563">
        <f t="array" ref="H155">IFERROR(INDEX(_xlfn._xlws.FILTER(INDIRECT(H$1&amp;"!$E1:$E10000"),INDIRECT(H$1&amp;"!$a1:$a10000")=汇总!$A155),COUNTIF(INDIRECT(H$1&amp;"!$a1:$a10000"),汇总!$A155)),H154)</f>
        <v/>
      </c>
      <c r="I155" s="563">
        <f t="array" ref="I155">IFERROR(INDEX(_xlfn._xlws.FILTER(INDIRECT(I$1&amp;"!$E1:$E10000"),INDIRECT(I$1&amp;"!$a1:$a10000")=汇总!$A155),COUNTIF(INDIRECT(I$1&amp;"!$a1:$a10000"),汇总!$A155)),I154)</f>
        <v/>
      </c>
      <c r="J155" s="563">
        <f t="array" ref="J155">IFERROR(INDEX(_xlfn._xlws.FILTER(INDIRECT(J$1&amp;"!$E1:$E10000"),INDIRECT(J$1&amp;"!$a1:$a10000")=汇总!$A155),COUNTIF(INDIRECT(J$1&amp;"!$a1:$a10000"),汇总!$A155)),J154)</f>
        <v/>
      </c>
      <c r="K155" s="563">
        <f t="array" ref="K155">IFERROR(INDEX(_xlfn._xlws.FILTER(INDIRECT(K$1&amp;"!$E1:$E10000"),INDIRECT(K$1&amp;"!$a1:$a10000")=汇总!$A155),COUNTIF(INDIRECT(K$1&amp;"!$a1:$a10000"),汇总!$A155)),K154)</f>
        <v/>
      </c>
      <c r="L155" s="563">
        <f t="array" ref="L155">IFERROR(INDEX(_xlfn._xlws.FILTER(INDIRECT(L$1&amp;"!$E1:$E10000"),INDIRECT(L$1&amp;"!$a1:$a10000")=汇总!$A155),COUNTIF(INDIRECT(L$1&amp;"!$a1:$a10000"),汇总!$A155)),L154)</f>
        <v/>
      </c>
      <c r="M155" s="563">
        <f t="array" ref="M155">IFERROR(INDEX(_xlfn._xlws.FILTER(INDIRECT(M$1&amp;"!$E1:$E10000"),INDIRECT(M$1&amp;"!$a1:$a10000")=汇总!$A155),COUNTIF(INDIRECT(M$1&amp;"!$a1:$a10000"),汇总!$A155)),M154)</f>
        <v/>
      </c>
      <c r="N155" s="563">
        <f t="array" ref="N155">IFERROR(INDEX(_xlfn._xlws.FILTER(INDIRECT(N$1&amp;"!$E1:$E10000"),INDIRECT(N$1&amp;"!$a1:$a10000")=汇总!$A155),COUNTIF(INDIRECT(N$1&amp;"!$a1:$a10000"),汇总!$A155)),N154)</f>
        <v/>
      </c>
      <c r="O155" s="563">
        <f t="array" ref="O155">IFERROR(INDEX(_xlfn._xlws.FILTER(INDIRECT(O$1&amp;"!$E1:$E10000"),INDIRECT(O$1&amp;"!$a1:$a10000")=汇总!$A155),COUNTIF(INDIRECT(O$1&amp;"!$a1:$a10000"),汇总!$A155)),O154)</f>
        <v/>
      </c>
      <c r="P155" s="563">
        <f t="array" ref="P155">IFERROR(INDEX(_xlfn._xlws.FILTER(INDIRECT(P$1&amp;"!$E1:$E10000"),INDIRECT(P$1&amp;"!$a1:$a10000")=汇总!$A155),COUNTIF(INDIRECT(P$1&amp;"!$a1:$a10000"),汇总!$A155)),P154)</f>
        <v/>
      </c>
      <c r="Q155" s="563">
        <f t="array" ref="Q155">IFERROR(INDEX(_xlfn._xlws.FILTER(INDIRECT(Q$1&amp;"!$E1:$E10000"),INDIRECT(Q$1&amp;"!$a1:$a10000")=汇总!$A155),COUNTIF(INDIRECT(Q$1&amp;"!$a1:$a10000"),汇总!$A155)),Q154)</f>
        <v/>
      </c>
      <c r="R155" s="563">
        <f t="array" ref="R155">IFERROR(INDEX(_xlfn._xlws.FILTER(INDIRECT(R$1&amp;"!$E1:$E10000"),INDIRECT(R$1&amp;"!$a1:$a10000")=汇总!$A155),COUNTIF(INDIRECT(R$1&amp;"!$a1:$a10000"),汇总!$A155)),R154)</f>
        <v/>
      </c>
      <c r="S155" s="563">
        <f t="array" ref="S155">IFERROR(INDEX(_xlfn._xlws.FILTER(INDIRECT(S$1&amp;"!$E1:$E10000"),INDIRECT(S$1&amp;"!$a1:$a10000")=汇总!$A155),COUNTIF(INDIRECT(S$1&amp;"!$a1:$a10000"),汇总!$A155)),S154)</f>
        <v/>
      </c>
      <c r="T155" s="563">
        <f t="array" ref="T155">IFERROR(INDEX(_xlfn._xlws.FILTER(INDIRECT(T$1&amp;"!$E1:$E10000"),INDIRECT(T$1&amp;"!$a1:$a10000")=汇总!$A155),COUNTIF(INDIRECT(T$1&amp;"!$a1:$a10000"),汇总!$A155)),T154)</f>
        <v/>
      </c>
    </row>
    <row r="156">
      <c r="A156" s="1">
        <f>+A155+1</f>
        <v/>
      </c>
      <c r="B156" s="563">
        <f t="array" ref="B156">IFERROR(INDEX(_xlfn._xlws.FILTER(INDIRECT(B$1&amp;"!$E1:$E10000"),INDIRECT(B$1&amp;"!$a1:$a10000")=汇总!$A156),COUNTIF(INDIRECT(B$1&amp;"!$a1:$a10000"),汇总!$A156)),B155)</f>
        <v/>
      </c>
      <c r="C156" s="563">
        <f t="array" ref="C156">IFERROR(INDEX(_xlfn._xlws.FILTER(INDIRECT(C$1&amp;"!$E1:$E10000"),INDIRECT(C$1&amp;"!$a1:$a10000")=汇总!$A156),COUNTIF(INDIRECT(C$1&amp;"!$a1:$a10000"),汇总!$A156)),C155)</f>
        <v/>
      </c>
      <c r="D156" s="563">
        <f t="array" ref="D156">IFERROR(INDEX(_xlfn._xlws.FILTER(INDIRECT(D$1&amp;"!$E1:$E10000"),INDIRECT(D$1&amp;"!$a1:$a10000")=汇总!$A156),COUNTIF(INDIRECT(D$1&amp;"!$a1:$a10000"),汇总!$A156)),D155)</f>
        <v/>
      </c>
      <c r="E156" s="563">
        <f t="array" ref="E156">IFERROR(INDEX(_xlfn._xlws.FILTER(INDIRECT(E$1&amp;"!$E1:$E10000"),INDIRECT(E$1&amp;"!$a1:$a10000")=汇总!$A156),COUNTIF(INDIRECT(E$1&amp;"!$a1:$a10000"),汇总!$A156)),E155)</f>
        <v/>
      </c>
      <c r="F156" s="563">
        <f t="array" ref="F156">IFERROR(INDEX(_xlfn._xlws.FILTER(INDIRECT(F$1&amp;"!$E1:$E10000"),INDIRECT(F$1&amp;"!$a1:$a10000")=汇总!$A156),COUNTIF(INDIRECT(F$1&amp;"!$a1:$a10000"),汇总!$A156)),F155)</f>
        <v/>
      </c>
      <c r="G156" s="563">
        <f t="array" ref="G156">IFERROR(INDEX(_xlfn._xlws.FILTER(INDIRECT(G$1&amp;"!$E1:$E10000"),INDIRECT(G$1&amp;"!$a1:$a10000")=汇总!$A156),COUNTIF(INDIRECT(G$1&amp;"!$a1:$a10000"),汇总!$A156)),G155)</f>
        <v/>
      </c>
      <c r="H156" s="563">
        <f t="array" ref="H156">IFERROR(INDEX(_xlfn._xlws.FILTER(INDIRECT(H$1&amp;"!$E1:$E10000"),INDIRECT(H$1&amp;"!$a1:$a10000")=汇总!$A156),COUNTIF(INDIRECT(H$1&amp;"!$a1:$a10000"),汇总!$A156)),H155)</f>
        <v/>
      </c>
      <c r="I156" s="563">
        <f t="array" ref="I156">IFERROR(INDEX(_xlfn._xlws.FILTER(INDIRECT(I$1&amp;"!$E1:$E10000"),INDIRECT(I$1&amp;"!$a1:$a10000")=汇总!$A156),COUNTIF(INDIRECT(I$1&amp;"!$a1:$a10000"),汇总!$A156)),I155)</f>
        <v/>
      </c>
      <c r="J156" s="563">
        <f t="array" ref="J156">IFERROR(INDEX(_xlfn._xlws.FILTER(INDIRECT(J$1&amp;"!$E1:$E10000"),INDIRECT(J$1&amp;"!$a1:$a10000")=汇总!$A156),COUNTIF(INDIRECT(J$1&amp;"!$a1:$a10000"),汇总!$A156)),J155)</f>
        <v/>
      </c>
      <c r="K156" s="563">
        <f t="array" ref="K156">IFERROR(INDEX(_xlfn._xlws.FILTER(INDIRECT(K$1&amp;"!$E1:$E10000"),INDIRECT(K$1&amp;"!$a1:$a10000")=汇总!$A156),COUNTIF(INDIRECT(K$1&amp;"!$a1:$a10000"),汇总!$A156)),K155)</f>
        <v/>
      </c>
      <c r="L156" s="563">
        <f t="array" ref="L156">IFERROR(INDEX(_xlfn._xlws.FILTER(INDIRECT(L$1&amp;"!$E1:$E10000"),INDIRECT(L$1&amp;"!$a1:$a10000")=汇总!$A156),COUNTIF(INDIRECT(L$1&amp;"!$a1:$a10000"),汇总!$A156)),L155)</f>
        <v/>
      </c>
      <c r="M156" s="563">
        <f t="array" ref="M156">IFERROR(INDEX(_xlfn._xlws.FILTER(INDIRECT(M$1&amp;"!$E1:$E10000"),INDIRECT(M$1&amp;"!$a1:$a10000")=汇总!$A156),COUNTIF(INDIRECT(M$1&amp;"!$a1:$a10000"),汇总!$A156)),M155)</f>
        <v/>
      </c>
      <c r="N156" s="563">
        <f t="array" ref="N156">IFERROR(INDEX(_xlfn._xlws.FILTER(INDIRECT(N$1&amp;"!$E1:$E10000"),INDIRECT(N$1&amp;"!$a1:$a10000")=汇总!$A156),COUNTIF(INDIRECT(N$1&amp;"!$a1:$a10000"),汇总!$A156)),N155)</f>
        <v/>
      </c>
      <c r="O156" s="563">
        <f t="array" ref="O156">IFERROR(INDEX(_xlfn._xlws.FILTER(INDIRECT(O$1&amp;"!$E1:$E10000"),INDIRECT(O$1&amp;"!$a1:$a10000")=汇总!$A156),COUNTIF(INDIRECT(O$1&amp;"!$a1:$a10000"),汇总!$A156)),O155)</f>
        <v/>
      </c>
      <c r="P156" s="563">
        <f t="array" ref="P156">IFERROR(INDEX(_xlfn._xlws.FILTER(INDIRECT(P$1&amp;"!$E1:$E10000"),INDIRECT(P$1&amp;"!$a1:$a10000")=汇总!$A156),COUNTIF(INDIRECT(P$1&amp;"!$a1:$a10000"),汇总!$A156)),P155)</f>
        <v/>
      </c>
      <c r="Q156" s="563">
        <f t="array" ref="Q156">IFERROR(INDEX(_xlfn._xlws.FILTER(INDIRECT(Q$1&amp;"!$E1:$E10000"),INDIRECT(Q$1&amp;"!$a1:$a10000")=汇总!$A156),COUNTIF(INDIRECT(Q$1&amp;"!$a1:$a10000"),汇总!$A156)),Q155)</f>
        <v/>
      </c>
      <c r="R156" s="563">
        <f t="array" ref="R156">IFERROR(INDEX(_xlfn._xlws.FILTER(INDIRECT(R$1&amp;"!$E1:$E10000"),INDIRECT(R$1&amp;"!$a1:$a10000")=汇总!$A156),COUNTIF(INDIRECT(R$1&amp;"!$a1:$a10000"),汇总!$A156)),R155)</f>
        <v/>
      </c>
      <c r="S156" s="563">
        <f t="array" ref="S156">IFERROR(INDEX(_xlfn._xlws.FILTER(INDIRECT(S$1&amp;"!$E1:$E10000"),INDIRECT(S$1&amp;"!$a1:$a10000")=汇总!$A156),COUNTIF(INDIRECT(S$1&amp;"!$a1:$a10000"),汇总!$A156)),S155)</f>
        <v/>
      </c>
      <c r="T156" s="563">
        <f t="array" ref="T156">IFERROR(INDEX(_xlfn._xlws.FILTER(INDIRECT(T$1&amp;"!$E1:$E10000"),INDIRECT(T$1&amp;"!$a1:$a10000")=汇总!$A156),COUNTIF(INDIRECT(T$1&amp;"!$a1:$a10000"),汇总!$A156)),T155)</f>
        <v/>
      </c>
    </row>
    <row r="157">
      <c r="A157" s="1">
        <f>+A156+1</f>
        <v/>
      </c>
      <c r="B157" s="563">
        <f t="array" ref="B157">IFERROR(INDEX(_xlfn._xlws.FILTER(INDIRECT(B$1&amp;"!$E1:$E10000"),INDIRECT(B$1&amp;"!$a1:$a10000")=汇总!$A157),COUNTIF(INDIRECT(B$1&amp;"!$a1:$a10000"),汇总!$A157)),B156)</f>
        <v/>
      </c>
      <c r="C157" s="563">
        <f t="array" ref="C157">IFERROR(INDEX(_xlfn._xlws.FILTER(INDIRECT(C$1&amp;"!$E1:$E10000"),INDIRECT(C$1&amp;"!$a1:$a10000")=汇总!$A157),COUNTIF(INDIRECT(C$1&amp;"!$a1:$a10000"),汇总!$A157)),C156)</f>
        <v/>
      </c>
      <c r="D157" s="563">
        <f t="array" ref="D157">IFERROR(INDEX(_xlfn._xlws.FILTER(INDIRECT(D$1&amp;"!$E1:$E10000"),INDIRECT(D$1&amp;"!$a1:$a10000")=汇总!$A157),COUNTIF(INDIRECT(D$1&amp;"!$a1:$a10000"),汇总!$A157)),D156)</f>
        <v/>
      </c>
      <c r="E157" s="563">
        <f t="array" ref="E157">IFERROR(INDEX(_xlfn._xlws.FILTER(INDIRECT(E$1&amp;"!$E1:$E10000"),INDIRECT(E$1&amp;"!$a1:$a10000")=汇总!$A157),COUNTIF(INDIRECT(E$1&amp;"!$a1:$a10000"),汇总!$A157)),E156)</f>
        <v/>
      </c>
      <c r="F157" s="563">
        <f t="array" ref="F157">IFERROR(INDEX(_xlfn._xlws.FILTER(INDIRECT(F$1&amp;"!$E1:$E10000"),INDIRECT(F$1&amp;"!$a1:$a10000")=汇总!$A157),COUNTIF(INDIRECT(F$1&amp;"!$a1:$a10000"),汇总!$A157)),F156)</f>
        <v/>
      </c>
      <c r="G157" s="563">
        <f t="array" ref="G157">IFERROR(INDEX(_xlfn._xlws.FILTER(INDIRECT(G$1&amp;"!$E1:$E10000"),INDIRECT(G$1&amp;"!$a1:$a10000")=汇总!$A157),COUNTIF(INDIRECT(G$1&amp;"!$a1:$a10000"),汇总!$A157)),G156)</f>
        <v/>
      </c>
      <c r="H157" s="563">
        <f t="array" ref="H157">IFERROR(INDEX(_xlfn._xlws.FILTER(INDIRECT(H$1&amp;"!$E1:$E10000"),INDIRECT(H$1&amp;"!$a1:$a10000")=汇总!$A157),COUNTIF(INDIRECT(H$1&amp;"!$a1:$a10000"),汇总!$A157)),H156)</f>
        <v/>
      </c>
      <c r="I157" s="563">
        <f t="array" ref="I157">IFERROR(INDEX(_xlfn._xlws.FILTER(INDIRECT(I$1&amp;"!$E1:$E10000"),INDIRECT(I$1&amp;"!$a1:$a10000")=汇总!$A157),COUNTIF(INDIRECT(I$1&amp;"!$a1:$a10000"),汇总!$A157)),I156)</f>
        <v/>
      </c>
      <c r="J157" s="563">
        <f t="array" ref="J157">IFERROR(INDEX(_xlfn._xlws.FILTER(INDIRECT(J$1&amp;"!$E1:$E10000"),INDIRECT(J$1&amp;"!$a1:$a10000")=汇总!$A157),COUNTIF(INDIRECT(J$1&amp;"!$a1:$a10000"),汇总!$A157)),J156)</f>
        <v/>
      </c>
      <c r="K157" s="563">
        <f t="array" ref="K157">IFERROR(INDEX(_xlfn._xlws.FILTER(INDIRECT(K$1&amp;"!$E1:$E10000"),INDIRECT(K$1&amp;"!$a1:$a10000")=汇总!$A157),COUNTIF(INDIRECT(K$1&amp;"!$a1:$a10000"),汇总!$A157)),K156)</f>
        <v/>
      </c>
      <c r="L157" s="563">
        <f t="array" ref="L157">IFERROR(INDEX(_xlfn._xlws.FILTER(INDIRECT(L$1&amp;"!$E1:$E10000"),INDIRECT(L$1&amp;"!$a1:$a10000")=汇总!$A157),COUNTIF(INDIRECT(L$1&amp;"!$a1:$a10000"),汇总!$A157)),L156)</f>
        <v/>
      </c>
      <c r="M157" s="563">
        <f t="array" ref="M157">IFERROR(INDEX(_xlfn._xlws.FILTER(INDIRECT(M$1&amp;"!$E1:$E10000"),INDIRECT(M$1&amp;"!$a1:$a10000")=汇总!$A157),COUNTIF(INDIRECT(M$1&amp;"!$a1:$a10000"),汇总!$A157)),M156)</f>
        <v/>
      </c>
      <c r="N157" s="563">
        <f t="array" ref="N157">IFERROR(INDEX(_xlfn._xlws.FILTER(INDIRECT(N$1&amp;"!$E1:$E10000"),INDIRECT(N$1&amp;"!$a1:$a10000")=汇总!$A157),COUNTIF(INDIRECT(N$1&amp;"!$a1:$a10000"),汇总!$A157)),N156)</f>
        <v/>
      </c>
      <c r="O157" s="563">
        <f t="array" ref="O157">IFERROR(INDEX(_xlfn._xlws.FILTER(INDIRECT(O$1&amp;"!$E1:$E10000"),INDIRECT(O$1&amp;"!$a1:$a10000")=汇总!$A157),COUNTIF(INDIRECT(O$1&amp;"!$a1:$a10000"),汇总!$A157)),O156)</f>
        <v/>
      </c>
      <c r="P157" s="563">
        <f t="array" ref="P157">IFERROR(INDEX(_xlfn._xlws.FILTER(INDIRECT(P$1&amp;"!$E1:$E10000"),INDIRECT(P$1&amp;"!$a1:$a10000")=汇总!$A157),COUNTIF(INDIRECT(P$1&amp;"!$a1:$a10000"),汇总!$A157)),P156)</f>
        <v/>
      </c>
      <c r="Q157" s="563">
        <f t="array" ref="Q157">IFERROR(INDEX(_xlfn._xlws.FILTER(INDIRECT(Q$1&amp;"!$E1:$E10000"),INDIRECT(Q$1&amp;"!$a1:$a10000")=汇总!$A157),COUNTIF(INDIRECT(Q$1&amp;"!$a1:$a10000"),汇总!$A157)),Q156)</f>
        <v/>
      </c>
      <c r="R157" s="563">
        <f t="array" ref="R157">IFERROR(INDEX(_xlfn._xlws.FILTER(INDIRECT(R$1&amp;"!$E1:$E10000"),INDIRECT(R$1&amp;"!$a1:$a10000")=汇总!$A157),COUNTIF(INDIRECT(R$1&amp;"!$a1:$a10000"),汇总!$A157)),R156)</f>
        <v/>
      </c>
      <c r="S157" s="563">
        <f t="array" ref="S157">IFERROR(INDEX(_xlfn._xlws.FILTER(INDIRECT(S$1&amp;"!$E1:$E10000"),INDIRECT(S$1&amp;"!$a1:$a10000")=汇总!$A157),COUNTIF(INDIRECT(S$1&amp;"!$a1:$a10000"),汇总!$A157)),S156)</f>
        <v/>
      </c>
      <c r="T157" s="563">
        <f t="array" ref="T157">IFERROR(INDEX(_xlfn._xlws.FILTER(INDIRECT(T$1&amp;"!$E1:$E10000"),INDIRECT(T$1&amp;"!$a1:$a10000")=汇总!$A157),COUNTIF(INDIRECT(T$1&amp;"!$a1:$a10000"),汇总!$A157)),T156)</f>
        <v/>
      </c>
    </row>
    <row r="158">
      <c r="A158" s="1">
        <f>+A157+1</f>
        <v/>
      </c>
      <c r="B158" s="563">
        <f t="array" ref="B158">IFERROR(INDEX(_xlfn._xlws.FILTER(INDIRECT(B$1&amp;"!$E1:$E10000"),INDIRECT(B$1&amp;"!$a1:$a10000")=汇总!$A158),COUNTIF(INDIRECT(B$1&amp;"!$a1:$a10000"),汇总!$A158)),B157)</f>
        <v/>
      </c>
      <c r="C158" s="563">
        <f t="array" ref="C158">IFERROR(INDEX(_xlfn._xlws.FILTER(INDIRECT(C$1&amp;"!$E1:$E10000"),INDIRECT(C$1&amp;"!$a1:$a10000")=汇总!$A158),COUNTIF(INDIRECT(C$1&amp;"!$a1:$a10000"),汇总!$A158)),C157)</f>
        <v/>
      </c>
      <c r="D158" s="563">
        <f t="array" ref="D158">IFERROR(INDEX(_xlfn._xlws.FILTER(INDIRECT(D$1&amp;"!$E1:$E10000"),INDIRECT(D$1&amp;"!$a1:$a10000")=汇总!$A158),COUNTIF(INDIRECT(D$1&amp;"!$a1:$a10000"),汇总!$A158)),D157)</f>
        <v/>
      </c>
      <c r="E158" s="563">
        <f t="array" ref="E158">IFERROR(INDEX(_xlfn._xlws.FILTER(INDIRECT(E$1&amp;"!$E1:$E10000"),INDIRECT(E$1&amp;"!$a1:$a10000")=汇总!$A158),COUNTIF(INDIRECT(E$1&amp;"!$a1:$a10000"),汇总!$A158)),E157)</f>
        <v/>
      </c>
      <c r="F158" s="563">
        <f t="array" ref="F158">IFERROR(INDEX(_xlfn._xlws.FILTER(INDIRECT(F$1&amp;"!$E1:$E10000"),INDIRECT(F$1&amp;"!$a1:$a10000")=汇总!$A158),COUNTIF(INDIRECT(F$1&amp;"!$a1:$a10000"),汇总!$A158)),F157)</f>
        <v/>
      </c>
      <c r="G158" s="563">
        <f t="array" ref="G158">IFERROR(INDEX(_xlfn._xlws.FILTER(INDIRECT(G$1&amp;"!$E1:$E10000"),INDIRECT(G$1&amp;"!$a1:$a10000")=汇总!$A158),COUNTIF(INDIRECT(G$1&amp;"!$a1:$a10000"),汇总!$A158)),G157)</f>
        <v/>
      </c>
      <c r="H158" s="563">
        <f t="array" ref="H158">IFERROR(INDEX(_xlfn._xlws.FILTER(INDIRECT(H$1&amp;"!$E1:$E10000"),INDIRECT(H$1&amp;"!$a1:$a10000")=汇总!$A158),COUNTIF(INDIRECT(H$1&amp;"!$a1:$a10000"),汇总!$A158)),H157)</f>
        <v/>
      </c>
      <c r="I158" s="563">
        <f t="array" ref="I158">IFERROR(INDEX(_xlfn._xlws.FILTER(INDIRECT(I$1&amp;"!$E1:$E10000"),INDIRECT(I$1&amp;"!$a1:$a10000")=汇总!$A158),COUNTIF(INDIRECT(I$1&amp;"!$a1:$a10000"),汇总!$A158)),I157)</f>
        <v/>
      </c>
      <c r="J158" s="563">
        <f t="array" ref="J158">IFERROR(INDEX(_xlfn._xlws.FILTER(INDIRECT(J$1&amp;"!$E1:$E10000"),INDIRECT(J$1&amp;"!$a1:$a10000")=汇总!$A158),COUNTIF(INDIRECT(J$1&amp;"!$a1:$a10000"),汇总!$A158)),J157)</f>
        <v/>
      </c>
      <c r="K158" s="563">
        <f t="array" ref="K158">IFERROR(INDEX(_xlfn._xlws.FILTER(INDIRECT(K$1&amp;"!$E1:$E10000"),INDIRECT(K$1&amp;"!$a1:$a10000")=汇总!$A158),COUNTIF(INDIRECT(K$1&amp;"!$a1:$a10000"),汇总!$A158)),K157)</f>
        <v/>
      </c>
      <c r="L158" s="563">
        <f t="array" ref="L158">IFERROR(INDEX(_xlfn._xlws.FILTER(INDIRECT(L$1&amp;"!$E1:$E10000"),INDIRECT(L$1&amp;"!$a1:$a10000")=汇总!$A158),COUNTIF(INDIRECT(L$1&amp;"!$a1:$a10000"),汇总!$A158)),L157)</f>
        <v/>
      </c>
      <c r="M158" s="563">
        <f t="array" ref="M158">IFERROR(INDEX(_xlfn._xlws.FILTER(INDIRECT(M$1&amp;"!$E1:$E10000"),INDIRECT(M$1&amp;"!$a1:$a10000")=汇总!$A158),COUNTIF(INDIRECT(M$1&amp;"!$a1:$a10000"),汇总!$A158)),M157)</f>
        <v/>
      </c>
      <c r="N158" s="563">
        <f t="array" ref="N158">IFERROR(INDEX(_xlfn._xlws.FILTER(INDIRECT(N$1&amp;"!$E1:$E10000"),INDIRECT(N$1&amp;"!$a1:$a10000")=汇总!$A158),COUNTIF(INDIRECT(N$1&amp;"!$a1:$a10000"),汇总!$A158)),N157)</f>
        <v/>
      </c>
      <c r="O158" s="563">
        <f t="array" ref="O158">IFERROR(INDEX(_xlfn._xlws.FILTER(INDIRECT(O$1&amp;"!$E1:$E10000"),INDIRECT(O$1&amp;"!$a1:$a10000")=汇总!$A158),COUNTIF(INDIRECT(O$1&amp;"!$a1:$a10000"),汇总!$A158)),O157)</f>
        <v/>
      </c>
      <c r="P158" s="563">
        <f t="array" ref="P158">IFERROR(INDEX(_xlfn._xlws.FILTER(INDIRECT(P$1&amp;"!$E1:$E10000"),INDIRECT(P$1&amp;"!$a1:$a10000")=汇总!$A158),COUNTIF(INDIRECT(P$1&amp;"!$a1:$a10000"),汇总!$A158)),P157)</f>
        <v/>
      </c>
      <c r="Q158" s="563">
        <f t="array" ref="Q158">IFERROR(INDEX(_xlfn._xlws.FILTER(INDIRECT(Q$1&amp;"!$E1:$E10000"),INDIRECT(Q$1&amp;"!$a1:$a10000")=汇总!$A158),COUNTIF(INDIRECT(Q$1&amp;"!$a1:$a10000"),汇总!$A158)),Q157)</f>
        <v/>
      </c>
      <c r="R158" s="563">
        <f t="array" ref="R158">IFERROR(INDEX(_xlfn._xlws.FILTER(INDIRECT(R$1&amp;"!$E1:$E10000"),INDIRECT(R$1&amp;"!$a1:$a10000")=汇总!$A158),COUNTIF(INDIRECT(R$1&amp;"!$a1:$a10000"),汇总!$A158)),R157)</f>
        <v/>
      </c>
      <c r="S158" s="563">
        <f t="array" ref="S158">IFERROR(INDEX(_xlfn._xlws.FILTER(INDIRECT(S$1&amp;"!$E1:$E10000"),INDIRECT(S$1&amp;"!$a1:$a10000")=汇总!$A158),COUNTIF(INDIRECT(S$1&amp;"!$a1:$a10000"),汇总!$A158)),S157)</f>
        <v/>
      </c>
      <c r="T158" s="563">
        <f t="array" ref="T158">IFERROR(INDEX(_xlfn._xlws.FILTER(INDIRECT(T$1&amp;"!$E1:$E10000"),INDIRECT(T$1&amp;"!$a1:$a10000")=汇总!$A158),COUNTIF(INDIRECT(T$1&amp;"!$a1:$a10000"),汇总!$A158)),T157)</f>
        <v/>
      </c>
    </row>
    <row r="159">
      <c r="A159" s="1">
        <f>+A158+1</f>
        <v/>
      </c>
      <c r="B159" s="563">
        <f t="array" ref="B159">IFERROR(INDEX(_xlfn._xlws.FILTER(INDIRECT(B$1&amp;"!$E1:$E10000"),INDIRECT(B$1&amp;"!$a1:$a10000")=汇总!$A159),COUNTIF(INDIRECT(B$1&amp;"!$a1:$a10000"),汇总!$A159)),B158)</f>
        <v/>
      </c>
      <c r="C159" s="563">
        <f t="array" ref="C159">IFERROR(INDEX(_xlfn._xlws.FILTER(INDIRECT(C$1&amp;"!$E1:$E10000"),INDIRECT(C$1&amp;"!$a1:$a10000")=汇总!$A159),COUNTIF(INDIRECT(C$1&amp;"!$a1:$a10000"),汇总!$A159)),C158)</f>
        <v/>
      </c>
      <c r="D159" s="563">
        <f t="array" ref="D159">IFERROR(INDEX(_xlfn._xlws.FILTER(INDIRECT(D$1&amp;"!$E1:$E10000"),INDIRECT(D$1&amp;"!$a1:$a10000")=汇总!$A159),COUNTIF(INDIRECT(D$1&amp;"!$a1:$a10000"),汇总!$A159)),D158)</f>
        <v/>
      </c>
      <c r="E159" s="563">
        <f t="array" ref="E159">IFERROR(INDEX(_xlfn._xlws.FILTER(INDIRECT(E$1&amp;"!$E1:$E10000"),INDIRECT(E$1&amp;"!$a1:$a10000")=汇总!$A159),COUNTIF(INDIRECT(E$1&amp;"!$a1:$a10000"),汇总!$A159)),E158)</f>
        <v/>
      </c>
      <c r="F159" s="563">
        <f t="array" ref="F159">IFERROR(INDEX(_xlfn._xlws.FILTER(INDIRECT(F$1&amp;"!$E1:$E10000"),INDIRECT(F$1&amp;"!$a1:$a10000")=汇总!$A159),COUNTIF(INDIRECT(F$1&amp;"!$a1:$a10000"),汇总!$A159)),F158)</f>
        <v/>
      </c>
      <c r="G159" s="563">
        <f t="array" ref="G159">IFERROR(INDEX(_xlfn._xlws.FILTER(INDIRECT(G$1&amp;"!$E1:$E10000"),INDIRECT(G$1&amp;"!$a1:$a10000")=汇总!$A159),COUNTIF(INDIRECT(G$1&amp;"!$a1:$a10000"),汇总!$A159)),G158)</f>
        <v/>
      </c>
      <c r="H159" s="563">
        <f t="array" ref="H159">IFERROR(INDEX(_xlfn._xlws.FILTER(INDIRECT(H$1&amp;"!$E1:$E10000"),INDIRECT(H$1&amp;"!$a1:$a10000")=汇总!$A159),COUNTIF(INDIRECT(H$1&amp;"!$a1:$a10000"),汇总!$A159)),H158)</f>
        <v/>
      </c>
      <c r="I159" s="563">
        <f t="array" ref="I159">IFERROR(INDEX(_xlfn._xlws.FILTER(INDIRECT(I$1&amp;"!$E1:$E10000"),INDIRECT(I$1&amp;"!$a1:$a10000")=汇总!$A159),COUNTIF(INDIRECT(I$1&amp;"!$a1:$a10000"),汇总!$A159)),I158)</f>
        <v/>
      </c>
      <c r="J159" s="563">
        <f t="array" ref="J159">IFERROR(INDEX(_xlfn._xlws.FILTER(INDIRECT(J$1&amp;"!$E1:$E10000"),INDIRECT(J$1&amp;"!$a1:$a10000")=汇总!$A159),COUNTIF(INDIRECT(J$1&amp;"!$a1:$a10000"),汇总!$A159)),J158)</f>
        <v/>
      </c>
      <c r="K159" s="563">
        <f t="array" ref="K159">IFERROR(INDEX(_xlfn._xlws.FILTER(INDIRECT(K$1&amp;"!$E1:$E10000"),INDIRECT(K$1&amp;"!$a1:$a10000")=汇总!$A159),COUNTIF(INDIRECT(K$1&amp;"!$a1:$a10000"),汇总!$A159)),K158)</f>
        <v/>
      </c>
      <c r="L159" s="563">
        <f t="array" ref="L159">IFERROR(INDEX(_xlfn._xlws.FILTER(INDIRECT(L$1&amp;"!$E1:$E10000"),INDIRECT(L$1&amp;"!$a1:$a10000")=汇总!$A159),COUNTIF(INDIRECT(L$1&amp;"!$a1:$a10000"),汇总!$A159)),L158)</f>
        <v/>
      </c>
      <c r="M159" s="563">
        <f t="array" ref="M159">IFERROR(INDEX(_xlfn._xlws.FILTER(INDIRECT(M$1&amp;"!$E1:$E10000"),INDIRECT(M$1&amp;"!$a1:$a10000")=汇总!$A159),COUNTIF(INDIRECT(M$1&amp;"!$a1:$a10000"),汇总!$A159)),M158)</f>
        <v/>
      </c>
      <c r="N159" s="563">
        <f t="array" ref="N159">IFERROR(INDEX(_xlfn._xlws.FILTER(INDIRECT(N$1&amp;"!$E1:$E10000"),INDIRECT(N$1&amp;"!$a1:$a10000")=汇总!$A159),COUNTIF(INDIRECT(N$1&amp;"!$a1:$a10000"),汇总!$A159)),N158)</f>
        <v/>
      </c>
      <c r="O159" s="563">
        <f t="array" ref="O159">IFERROR(INDEX(_xlfn._xlws.FILTER(INDIRECT(O$1&amp;"!$E1:$E10000"),INDIRECT(O$1&amp;"!$a1:$a10000")=汇总!$A159),COUNTIF(INDIRECT(O$1&amp;"!$a1:$a10000"),汇总!$A159)),O158)</f>
        <v/>
      </c>
      <c r="P159" s="563">
        <f t="array" ref="P159">IFERROR(INDEX(_xlfn._xlws.FILTER(INDIRECT(P$1&amp;"!$E1:$E10000"),INDIRECT(P$1&amp;"!$a1:$a10000")=汇总!$A159),COUNTIF(INDIRECT(P$1&amp;"!$a1:$a10000"),汇总!$A159)),P158)</f>
        <v/>
      </c>
      <c r="Q159" s="563">
        <f t="array" ref="Q159">IFERROR(INDEX(_xlfn._xlws.FILTER(INDIRECT(Q$1&amp;"!$E1:$E10000"),INDIRECT(Q$1&amp;"!$a1:$a10000")=汇总!$A159),COUNTIF(INDIRECT(Q$1&amp;"!$a1:$a10000"),汇总!$A159)),Q158)</f>
        <v/>
      </c>
      <c r="R159" s="563">
        <f t="array" ref="R159">IFERROR(INDEX(_xlfn._xlws.FILTER(INDIRECT(R$1&amp;"!$E1:$E10000"),INDIRECT(R$1&amp;"!$a1:$a10000")=汇总!$A159),COUNTIF(INDIRECT(R$1&amp;"!$a1:$a10000"),汇总!$A159)),R158)</f>
        <v/>
      </c>
      <c r="S159" s="563">
        <f t="array" ref="S159">IFERROR(INDEX(_xlfn._xlws.FILTER(INDIRECT(S$1&amp;"!$E1:$E10000"),INDIRECT(S$1&amp;"!$a1:$a10000")=汇总!$A159),COUNTIF(INDIRECT(S$1&amp;"!$a1:$a10000"),汇总!$A159)),S158)</f>
        <v/>
      </c>
      <c r="T159" s="563">
        <f t="array" ref="T159">IFERROR(INDEX(_xlfn._xlws.FILTER(INDIRECT(T$1&amp;"!$E1:$E10000"),INDIRECT(T$1&amp;"!$a1:$a10000")=汇总!$A159),COUNTIF(INDIRECT(T$1&amp;"!$a1:$a10000"),汇总!$A159)),T158)</f>
        <v/>
      </c>
    </row>
    <row r="160">
      <c r="A160" s="1">
        <f>+A159+1</f>
        <v/>
      </c>
      <c r="B160" s="563">
        <f t="array" ref="B160">IFERROR(INDEX(_xlfn._xlws.FILTER(INDIRECT(B$1&amp;"!$E1:$E10000"),INDIRECT(B$1&amp;"!$a1:$a10000")=汇总!$A160),COUNTIF(INDIRECT(B$1&amp;"!$a1:$a10000"),汇总!$A160)),B159)</f>
        <v/>
      </c>
      <c r="C160" s="563">
        <f t="array" ref="C160">IFERROR(INDEX(_xlfn._xlws.FILTER(INDIRECT(C$1&amp;"!$E1:$E10000"),INDIRECT(C$1&amp;"!$a1:$a10000")=汇总!$A160),COUNTIF(INDIRECT(C$1&amp;"!$a1:$a10000"),汇总!$A160)),C159)</f>
        <v/>
      </c>
      <c r="D160" s="563">
        <f t="array" ref="D160">IFERROR(INDEX(_xlfn._xlws.FILTER(INDIRECT(D$1&amp;"!$E1:$E10000"),INDIRECT(D$1&amp;"!$a1:$a10000")=汇总!$A160),COUNTIF(INDIRECT(D$1&amp;"!$a1:$a10000"),汇总!$A160)),D159)</f>
        <v/>
      </c>
      <c r="E160" s="563">
        <f t="array" ref="E160">IFERROR(INDEX(_xlfn._xlws.FILTER(INDIRECT(E$1&amp;"!$E1:$E10000"),INDIRECT(E$1&amp;"!$a1:$a10000")=汇总!$A160),COUNTIF(INDIRECT(E$1&amp;"!$a1:$a10000"),汇总!$A160)),E159)</f>
        <v/>
      </c>
      <c r="F160" s="563">
        <f t="array" ref="F160">IFERROR(INDEX(_xlfn._xlws.FILTER(INDIRECT(F$1&amp;"!$E1:$E10000"),INDIRECT(F$1&amp;"!$a1:$a10000")=汇总!$A160),COUNTIF(INDIRECT(F$1&amp;"!$a1:$a10000"),汇总!$A160)),F159)</f>
        <v/>
      </c>
      <c r="G160" s="563">
        <f t="array" ref="G160">IFERROR(INDEX(_xlfn._xlws.FILTER(INDIRECT(G$1&amp;"!$E1:$E10000"),INDIRECT(G$1&amp;"!$a1:$a10000")=汇总!$A160),COUNTIF(INDIRECT(G$1&amp;"!$a1:$a10000"),汇总!$A160)),G159)</f>
        <v/>
      </c>
      <c r="H160" s="563">
        <f t="array" ref="H160">IFERROR(INDEX(_xlfn._xlws.FILTER(INDIRECT(H$1&amp;"!$E1:$E10000"),INDIRECT(H$1&amp;"!$a1:$a10000")=汇总!$A160),COUNTIF(INDIRECT(H$1&amp;"!$a1:$a10000"),汇总!$A160)),H159)</f>
        <v/>
      </c>
      <c r="I160" s="563">
        <f t="array" ref="I160">IFERROR(INDEX(_xlfn._xlws.FILTER(INDIRECT(I$1&amp;"!$E1:$E10000"),INDIRECT(I$1&amp;"!$a1:$a10000")=汇总!$A160),COUNTIF(INDIRECT(I$1&amp;"!$a1:$a10000"),汇总!$A160)),I159)</f>
        <v/>
      </c>
      <c r="J160" s="563">
        <f t="array" ref="J160">IFERROR(INDEX(_xlfn._xlws.FILTER(INDIRECT(J$1&amp;"!$E1:$E10000"),INDIRECT(J$1&amp;"!$a1:$a10000")=汇总!$A160),COUNTIF(INDIRECT(J$1&amp;"!$a1:$a10000"),汇总!$A160)),J159)</f>
        <v/>
      </c>
      <c r="K160" s="563">
        <f t="array" ref="K160">IFERROR(INDEX(_xlfn._xlws.FILTER(INDIRECT(K$1&amp;"!$E1:$E10000"),INDIRECT(K$1&amp;"!$a1:$a10000")=汇总!$A160),COUNTIF(INDIRECT(K$1&amp;"!$a1:$a10000"),汇总!$A160)),K159)</f>
        <v/>
      </c>
      <c r="L160" s="563">
        <f t="array" ref="L160">IFERROR(INDEX(_xlfn._xlws.FILTER(INDIRECT(L$1&amp;"!$E1:$E10000"),INDIRECT(L$1&amp;"!$a1:$a10000")=汇总!$A160),COUNTIF(INDIRECT(L$1&amp;"!$a1:$a10000"),汇总!$A160)),L159)</f>
        <v/>
      </c>
      <c r="M160" s="563">
        <f t="array" ref="M160">IFERROR(INDEX(_xlfn._xlws.FILTER(INDIRECT(M$1&amp;"!$E1:$E10000"),INDIRECT(M$1&amp;"!$a1:$a10000")=汇总!$A160),COUNTIF(INDIRECT(M$1&amp;"!$a1:$a10000"),汇总!$A160)),M159)</f>
        <v/>
      </c>
      <c r="N160" s="563">
        <f t="array" ref="N160">IFERROR(INDEX(_xlfn._xlws.FILTER(INDIRECT(N$1&amp;"!$E1:$E10000"),INDIRECT(N$1&amp;"!$a1:$a10000")=汇总!$A160),COUNTIF(INDIRECT(N$1&amp;"!$a1:$a10000"),汇总!$A160)),N159)</f>
        <v/>
      </c>
      <c r="O160" s="563">
        <f t="array" ref="O160">IFERROR(INDEX(_xlfn._xlws.FILTER(INDIRECT(O$1&amp;"!$E1:$E10000"),INDIRECT(O$1&amp;"!$a1:$a10000")=汇总!$A160),COUNTIF(INDIRECT(O$1&amp;"!$a1:$a10000"),汇总!$A160)),O159)</f>
        <v/>
      </c>
      <c r="P160" s="563">
        <f t="array" ref="P160">IFERROR(INDEX(_xlfn._xlws.FILTER(INDIRECT(P$1&amp;"!$E1:$E10000"),INDIRECT(P$1&amp;"!$a1:$a10000")=汇总!$A160),COUNTIF(INDIRECT(P$1&amp;"!$a1:$a10000"),汇总!$A160)),P159)</f>
        <v/>
      </c>
      <c r="Q160" s="563">
        <f t="array" ref="Q160">IFERROR(INDEX(_xlfn._xlws.FILTER(INDIRECT(Q$1&amp;"!$E1:$E10000"),INDIRECT(Q$1&amp;"!$a1:$a10000")=汇总!$A160),COUNTIF(INDIRECT(Q$1&amp;"!$a1:$a10000"),汇总!$A160)),Q159)</f>
        <v/>
      </c>
      <c r="R160" s="563">
        <f t="array" ref="R160">IFERROR(INDEX(_xlfn._xlws.FILTER(INDIRECT(R$1&amp;"!$E1:$E10000"),INDIRECT(R$1&amp;"!$a1:$a10000")=汇总!$A160),COUNTIF(INDIRECT(R$1&amp;"!$a1:$a10000"),汇总!$A160)),R159)</f>
        <v/>
      </c>
      <c r="S160" s="563">
        <f t="array" ref="S160">IFERROR(INDEX(_xlfn._xlws.FILTER(INDIRECT(S$1&amp;"!$E1:$E10000"),INDIRECT(S$1&amp;"!$a1:$a10000")=汇总!$A160),COUNTIF(INDIRECT(S$1&amp;"!$a1:$a10000"),汇总!$A160)),S159)</f>
        <v/>
      </c>
      <c r="T160" s="563">
        <f t="array" ref="T160">IFERROR(INDEX(_xlfn._xlws.FILTER(INDIRECT(T$1&amp;"!$E1:$E10000"),INDIRECT(T$1&amp;"!$a1:$a10000")=汇总!$A160),COUNTIF(INDIRECT(T$1&amp;"!$a1:$a10000"),汇总!$A160)),T159)</f>
        <v/>
      </c>
    </row>
    <row r="161">
      <c r="A161" s="1">
        <f>+A160+1</f>
        <v/>
      </c>
      <c r="B161" s="563">
        <f t="array" ref="B161">IFERROR(INDEX(_xlfn._xlws.FILTER(INDIRECT(B$1&amp;"!$E1:$E10000"),INDIRECT(B$1&amp;"!$a1:$a10000")=汇总!$A161),COUNTIF(INDIRECT(B$1&amp;"!$a1:$a10000"),汇总!$A161)),B160)</f>
        <v/>
      </c>
      <c r="C161" s="563">
        <f t="array" ref="C161">IFERROR(INDEX(_xlfn._xlws.FILTER(INDIRECT(C$1&amp;"!$E1:$E10000"),INDIRECT(C$1&amp;"!$a1:$a10000")=汇总!$A161),COUNTIF(INDIRECT(C$1&amp;"!$a1:$a10000"),汇总!$A161)),C160)</f>
        <v/>
      </c>
      <c r="D161" s="563">
        <f t="array" ref="D161">IFERROR(INDEX(_xlfn._xlws.FILTER(INDIRECT(D$1&amp;"!$E1:$E10000"),INDIRECT(D$1&amp;"!$a1:$a10000")=汇总!$A161),COUNTIF(INDIRECT(D$1&amp;"!$a1:$a10000"),汇总!$A161)),D160)</f>
        <v/>
      </c>
      <c r="E161" s="563">
        <f t="array" ref="E161">IFERROR(INDEX(_xlfn._xlws.FILTER(INDIRECT(E$1&amp;"!$E1:$E10000"),INDIRECT(E$1&amp;"!$a1:$a10000")=汇总!$A161),COUNTIF(INDIRECT(E$1&amp;"!$a1:$a10000"),汇总!$A161)),E160)</f>
        <v/>
      </c>
      <c r="F161" s="563">
        <f t="array" ref="F161">IFERROR(INDEX(_xlfn._xlws.FILTER(INDIRECT(F$1&amp;"!$E1:$E10000"),INDIRECT(F$1&amp;"!$a1:$a10000")=汇总!$A161),COUNTIF(INDIRECT(F$1&amp;"!$a1:$a10000"),汇总!$A161)),F160)</f>
        <v/>
      </c>
      <c r="G161" s="563">
        <f t="array" ref="G161">IFERROR(INDEX(_xlfn._xlws.FILTER(INDIRECT(G$1&amp;"!$E1:$E10000"),INDIRECT(G$1&amp;"!$a1:$a10000")=汇总!$A161),COUNTIF(INDIRECT(G$1&amp;"!$a1:$a10000"),汇总!$A161)),G160)</f>
        <v/>
      </c>
      <c r="H161" s="563">
        <f t="array" ref="H161">IFERROR(INDEX(_xlfn._xlws.FILTER(INDIRECT(H$1&amp;"!$E1:$E10000"),INDIRECT(H$1&amp;"!$a1:$a10000")=汇总!$A161),COUNTIF(INDIRECT(H$1&amp;"!$a1:$a10000"),汇总!$A161)),H160)</f>
        <v/>
      </c>
      <c r="I161" s="563">
        <f t="array" ref="I161">IFERROR(INDEX(_xlfn._xlws.FILTER(INDIRECT(I$1&amp;"!$E1:$E10000"),INDIRECT(I$1&amp;"!$a1:$a10000")=汇总!$A161),COUNTIF(INDIRECT(I$1&amp;"!$a1:$a10000"),汇总!$A161)),I160)</f>
        <v/>
      </c>
      <c r="J161" s="563">
        <f t="array" ref="J161">IFERROR(INDEX(_xlfn._xlws.FILTER(INDIRECT(J$1&amp;"!$E1:$E10000"),INDIRECT(J$1&amp;"!$a1:$a10000")=汇总!$A161),COUNTIF(INDIRECT(J$1&amp;"!$a1:$a10000"),汇总!$A161)),J160)</f>
        <v/>
      </c>
      <c r="K161" s="563">
        <f t="array" ref="K161">IFERROR(INDEX(_xlfn._xlws.FILTER(INDIRECT(K$1&amp;"!$E1:$E10000"),INDIRECT(K$1&amp;"!$a1:$a10000")=汇总!$A161),COUNTIF(INDIRECT(K$1&amp;"!$a1:$a10000"),汇总!$A161)),K160)</f>
        <v/>
      </c>
      <c r="L161" s="563">
        <f t="array" ref="L161">IFERROR(INDEX(_xlfn._xlws.FILTER(INDIRECT(L$1&amp;"!$E1:$E10000"),INDIRECT(L$1&amp;"!$a1:$a10000")=汇总!$A161),COUNTIF(INDIRECT(L$1&amp;"!$a1:$a10000"),汇总!$A161)),L160)</f>
        <v/>
      </c>
      <c r="M161" s="563">
        <f t="array" ref="M161">IFERROR(INDEX(_xlfn._xlws.FILTER(INDIRECT(M$1&amp;"!$E1:$E10000"),INDIRECT(M$1&amp;"!$a1:$a10000")=汇总!$A161),COUNTIF(INDIRECT(M$1&amp;"!$a1:$a10000"),汇总!$A161)),M160)</f>
        <v/>
      </c>
      <c r="N161" s="563">
        <f t="array" ref="N161">IFERROR(INDEX(_xlfn._xlws.FILTER(INDIRECT(N$1&amp;"!$E1:$E10000"),INDIRECT(N$1&amp;"!$a1:$a10000")=汇总!$A161),COUNTIF(INDIRECT(N$1&amp;"!$a1:$a10000"),汇总!$A161)),N160)</f>
        <v/>
      </c>
      <c r="O161" s="563">
        <f t="array" ref="O161">IFERROR(INDEX(_xlfn._xlws.FILTER(INDIRECT(O$1&amp;"!$E1:$E10000"),INDIRECT(O$1&amp;"!$a1:$a10000")=汇总!$A161),COUNTIF(INDIRECT(O$1&amp;"!$a1:$a10000"),汇总!$A161)),O160)</f>
        <v/>
      </c>
      <c r="P161" s="563">
        <f t="array" ref="P161">IFERROR(INDEX(_xlfn._xlws.FILTER(INDIRECT(P$1&amp;"!$E1:$E10000"),INDIRECT(P$1&amp;"!$a1:$a10000")=汇总!$A161),COUNTIF(INDIRECT(P$1&amp;"!$a1:$a10000"),汇总!$A161)),P160)</f>
        <v/>
      </c>
      <c r="Q161" s="563">
        <f t="array" ref="Q161">IFERROR(INDEX(_xlfn._xlws.FILTER(INDIRECT(Q$1&amp;"!$E1:$E10000"),INDIRECT(Q$1&amp;"!$a1:$a10000")=汇总!$A161),COUNTIF(INDIRECT(Q$1&amp;"!$a1:$a10000"),汇总!$A161)),Q160)</f>
        <v/>
      </c>
      <c r="R161" s="563">
        <f t="array" ref="R161">IFERROR(INDEX(_xlfn._xlws.FILTER(INDIRECT(R$1&amp;"!$E1:$E10000"),INDIRECT(R$1&amp;"!$a1:$a10000")=汇总!$A161),COUNTIF(INDIRECT(R$1&amp;"!$a1:$a10000"),汇总!$A161)),R160)</f>
        <v/>
      </c>
      <c r="S161" s="563">
        <f t="array" ref="S161">IFERROR(INDEX(_xlfn._xlws.FILTER(INDIRECT(S$1&amp;"!$E1:$E10000"),INDIRECT(S$1&amp;"!$a1:$a10000")=汇总!$A161),COUNTIF(INDIRECT(S$1&amp;"!$a1:$a10000"),汇总!$A161)),S160)</f>
        <v/>
      </c>
      <c r="T161" s="563">
        <f t="array" ref="T161">IFERROR(INDEX(_xlfn._xlws.FILTER(INDIRECT(T$1&amp;"!$E1:$E10000"),INDIRECT(T$1&amp;"!$a1:$a10000")=汇总!$A161),COUNTIF(INDIRECT(T$1&amp;"!$a1:$a10000"),汇总!$A161)),T160)</f>
        <v/>
      </c>
    </row>
    <row r="162">
      <c r="A162" s="1">
        <f>+A161+1</f>
        <v/>
      </c>
      <c r="B162" s="563">
        <f t="array" ref="B162">IFERROR(INDEX(_xlfn._xlws.FILTER(INDIRECT(B$1&amp;"!$E1:$E10000"),INDIRECT(B$1&amp;"!$a1:$a10000")=汇总!$A162),COUNTIF(INDIRECT(B$1&amp;"!$a1:$a10000"),汇总!$A162)),B161)</f>
        <v/>
      </c>
      <c r="C162" s="563">
        <f t="array" ref="C162">IFERROR(INDEX(_xlfn._xlws.FILTER(INDIRECT(C$1&amp;"!$E1:$E10000"),INDIRECT(C$1&amp;"!$a1:$a10000")=汇总!$A162),COUNTIF(INDIRECT(C$1&amp;"!$a1:$a10000"),汇总!$A162)),C161)</f>
        <v/>
      </c>
      <c r="D162" s="563">
        <f t="array" ref="D162">IFERROR(INDEX(_xlfn._xlws.FILTER(INDIRECT(D$1&amp;"!$E1:$E10000"),INDIRECT(D$1&amp;"!$a1:$a10000")=汇总!$A162),COUNTIF(INDIRECT(D$1&amp;"!$a1:$a10000"),汇总!$A162)),D161)</f>
        <v/>
      </c>
      <c r="E162" s="563">
        <f t="array" ref="E162">IFERROR(INDEX(_xlfn._xlws.FILTER(INDIRECT(E$1&amp;"!$E1:$E10000"),INDIRECT(E$1&amp;"!$a1:$a10000")=汇总!$A162),COUNTIF(INDIRECT(E$1&amp;"!$a1:$a10000"),汇总!$A162)),E161)</f>
        <v/>
      </c>
      <c r="F162" s="563">
        <f t="array" ref="F162">IFERROR(INDEX(_xlfn._xlws.FILTER(INDIRECT(F$1&amp;"!$E1:$E10000"),INDIRECT(F$1&amp;"!$a1:$a10000")=汇总!$A162),COUNTIF(INDIRECT(F$1&amp;"!$a1:$a10000"),汇总!$A162)),F161)</f>
        <v/>
      </c>
      <c r="G162" s="563">
        <f t="array" ref="G162">IFERROR(INDEX(_xlfn._xlws.FILTER(INDIRECT(G$1&amp;"!$E1:$E10000"),INDIRECT(G$1&amp;"!$a1:$a10000")=汇总!$A162),COUNTIF(INDIRECT(G$1&amp;"!$a1:$a10000"),汇总!$A162)),G161)</f>
        <v/>
      </c>
      <c r="H162" s="563">
        <f t="array" ref="H162">IFERROR(INDEX(_xlfn._xlws.FILTER(INDIRECT(H$1&amp;"!$E1:$E10000"),INDIRECT(H$1&amp;"!$a1:$a10000")=汇总!$A162),COUNTIF(INDIRECT(H$1&amp;"!$a1:$a10000"),汇总!$A162)),H161)</f>
        <v/>
      </c>
      <c r="I162" s="563">
        <f t="array" ref="I162">IFERROR(INDEX(_xlfn._xlws.FILTER(INDIRECT(I$1&amp;"!$E1:$E10000"),INDIRECT(I$1&amp;"!$a1:$a10000")=汇总!$A162),COUNTIF(INDIRECT(I$1&amp;"!$a1:$a10000"),汇总!$A162)),I161)</f>
        <v/>
      </c>
      <c r="J162" s="563">
        <f t="array" ref="J162">IFERROR(INDEX(_xlfn._xlws.FILTER(INDIRECT(J$1&amp;"!$E1:$E10000"),INDIRECT(J$1&amp;"!$a1:$a10000")=汇总!$A162),COUNTIF(INDIRECT(J$1&amp;"!$a1:$a10000"),汇总!$A162)),J161)</f>
        <v/>
      </c>
      <c r="K162" s="563">
        <f t="array" ref="K162">IFERROR(INDEX(_xlfn._xlws.FILTER(INDIRECT(K$1&amp;"!$E1:$E10000"),INDIRECT(K$1&amp;"!$a1:$a10000")=汇总!$A162),COUNTIF(INDIRECT(K$1&amp;"!$a1:$a10000"),汇总!$A162)),K161)</f>
        <v/>
      </c>
      <c r="L162" s="563">
        <f t="array" ref="L162">IFERROR(INDEX(_xlfn._xlws.FILTER(INDIRECT(L$1&amp;"!$E1:$E10000"),INDIRECT(L$1&amp;"!$a1:$a10000")=汇总!$A162),COUNTIF(INDIRECT(L$1&amp;"!$a1:$a10000"),汇总!$A162)),L161)</f>
        <v/>
      </c>
      <c r="M162" s="563">
        <f t="array" ref="M162">IFERROR(INDEX(_xlfn._xlws.FILTER(INDIRECT(M$1&amp;"!$E1:$E10000"),INDIRECT(M$1&amp;"!$a1:$a10000")=汇总!$A162),COUNTIF(INDIRECT(M$1&amp;"!$a1:$a10000"),汇总!$A162)),M161)</f>
        <v/>
      </c>
      <c r="N162" s="563">
        <f t="array" ref="N162">IFERROR(INDEX(_xlfn._xlws.FILTER(INDIRECT(N$1&amp;"!$E1:$E10000"),INDIRECT(N$1&amp;"!$a1:$a10000")=汇总!$A162),COUNTIF(INDIRECT(N$1&amp;"!$a1:$a10000"),汇总!$A162)),N161)</f>
        <v/>
      </c>
      <c r="O162" s="563">
        <f t="array" ref="O162">IFERROR(INDEX(_xlfn._xlws.FILTER(INDIRECT(O$1&amp;"!$E1:$E10000"),INDIRECT(O$1&amp;"!$a1:$a10000")=汇总!$A162),COUNTIF(INDIRECT(O$1&amp;"!$a1:$a10000"),汇总!$A162)),O161)</f>
        <v/>
      </c>
      <c r="P162" s="563">
        <f t="array" ref="P162">IFERROR(INDEX(_xlfn._xlws.FILTER(INDIRECT(P$1&amp;"!$E1:$E10000"),INDIRECT(P$1&amp;"!$a1:$a10000")=汇总!$A162),COUNTIF(INDIRECT(P$1&amp;"!$a1:$a10000"),汇总!$A162)),P161)</f>
        <v/>
      </c>
      <c r="Q162" s="563">
        <f t="array" ref="Q162">IFERROR(INDEX(_xlfn._xlws.FILTER(INDIRECT(Q$1&amp;"!$E1:$E10000"),INDIRECT(Q$1&amp;"!$a1:$a10000")=汇总!$A162),COUNTIF(INDIRECT(Q$1&amp;"!$a1:$a10000"),汇总!$A162)),Q161)</f>
        <v/>
      </c>
      <c r="R162" s="563">
        <f t="array" ref="R162">IFERROR(INDEX(_xlfn._xlws.FILTER(INDIRECT(R$1&amp;"!$E1:$E10000"),INDIRECT(R$1&amp;"!$a1:$a10000")=汇总!$A162),COUNTIF(INDIRECT(R$1&amp;"!$a1:$a10000"),汇总!$A162)),R161)</f>
        <v/>
      </c>
      <c r="S162" s="563">
        <f t="array" ref="S162">IFERROR(INDEX(_xlfn._xlws.FILTER(INDIRECT(S$1&amp;"!$E1:$E10000"),INDIRECT(S$1&amp;"!$a1:$a10000")=汇总!$A162),COUNTIF(INDIRECT(S$1&amp;"!$a1:$a10000"),汇总!$A162)),S161)</f>
        <v/>
      </c>
      <c r="T162" s="563">
        <f t="array" ref="T162">IFERROR(INDEX(_xlfn._xlws.FILTER(INDIRECT(T$1&amp;"!$E1:$E10000"),INDIRECT(T$1&amp;"!$a1:$a10000")=汇总!$A162),COUNTIF(INDIRECT(T$1&amp;"!$a1:$a10000"),汇总!$A162)),T161)</f>
        <v/>
      </c>
    </row>
    <row r="163">
      <c r="A163" s="1">
        <f>+A162+1</f>
        <v/>
      </c>
      <c r="B163" s="563">
        <f t="array" ref="B163">IFERROR(INDEX(_xlfn._xlws.FILTER(INDIRECT(B$1&amp;"!$E1:$E10000"),INDIRECT(B$1&amp;"!$a1:$a10000")=汇总!$A163),COUNTIF(INDIRECT(B$1&amp;"!$a1:$a10000"),汇总!$A163)),B162)</f>
        <v/>
      </c>
      <c r="C163" s="563">
        <f t="array" ref="C163">IFERROR(INDEX(_xlfn._xlws.FILTER(INDIRECT(C$1&amp;"!$E1:$E10000"),INDIRECT(C$1&amp;"!$a1:$a10000")=汇总!$A163),COUNTIF(INDIRECT(C$1&amp;"!$a1:$a10000"),汇总!$A163)),C162)</f>
        <v/>
      </c>
      <c r="D163" s="563">
        <f t="array" ref="D163">IFERROR(INDEX(_xlfn._xlws.FILTER(INDIRECT(D$1&amp;"!$E1:$E10000"),INDIRECT(D$1&amp;"!$a1:$a10000")=汇总!$A163),COUNTIF(INDIRECT(D$1&amp;"!$a1:$a10000"),汇总!$A163)),D162)</f>
        <v/>
      </c>
      <c r="E163" s="563">
        <f t="array" ref="E163">IFERROR(INDEX(_xlfn._xlws.FILTER(INDIRECT(E$1&amp;"!$E1:$E10000"),INDIRECT(E$1&amp;"!$a1:$a10000")=汇总!$A163),COUNTIF(INDIRECT(E$1&amp;"!$a1:$a10000"),汇总!$A163)),E162)</f>
        <v/>
      </c>
      <c r="F163" s="563">
        <f t="array" ref="F163">IFERROR(INDEX(_xlfn._xlws.FILTER(INDIRECT(F$1&amp;"!$E1:$E10000"),INDIRECT(F$1&amp;"!$a1:$a10000")=汇总!$A163),COUNTIF(INDIRECT(F$1&amp;"!$a1:$a10000"),汇总!$A163)),F162)</f>
        <v/>
      </c>
      <c r="G163" s="563">
        <f t="array" ref="G163">IFERROR(INDEX(_xlfn._xlws.FILTER(INDIRECT(G$1&amp;"!$E1:$E10000"),INDIRECT(G$1&amp;"!$a1:$a10000")=汇总!$A163),COUNTIF(INDIRECT(G$1&amp;"!$a1:$a10000"),汇总!$A163)),G162)</f>
        <v/>
      </c>
      <c r="H163" s="563">
        <f t="array" ref="H163">IFERROR(INDEX(_xlfn._xlws.FILTER(INDIRECT(H$1&amp;"!$E1:$E10000"),INDIRECT(H$1&amp;"!$a1:$a10000")=汇总!$A163),COUNTIF(INDIRECT(H$1&amp;"!$a1:$a10000"),汇总!$A163)),H162)</f>
        <v/>
      </c>
      <c r="I163" s="563">
        <f t="array" ref="I163">IFERROR(INDEX(_xlfn._xlws.FILTER(INDIRECT(I$1&amp;"!$E1:$E10000"),INDIRECT(I$1&amp;"!$a1:$a10000")=汇总!$A163),COUNTIF(INDIRECT(I$1&amp;"!$a1:$a10000"),汇总!$A163)),I162)</f>
        <v/>
      </c>
      <c r="J163" s="563">
        <f t="array" ref="J163">IFERROR(INDEX(_xlfn._xlws.FILTER(INDIRECT(J$1&amp;"!$E1:$E10000"),INDIRECT(J$1&amp;"!$a1:$a10000")=汇总!$A163),COUNTIF(INDIRECT(J$1&amp;"!$a1:$a10000"),汇总!$A163)),J162)</f>
        <v/>
      </c>
      <c r="K163" s="563">
        <f t="array" ref="K163">IFERROR(INDEX(_xlfn._xlws.FILTER(INDIRECT(K$1&amp;"!$E1:$E10000"),INDIRECT(K$1&amp;"!$a1:$a10000")=汇总!$A163),COUNTIF(INDIRECT(K$1&amp;"!$a1:$a10000"),汇总!$A163)),K162)</f>
        <v/>
      </c>
      <c r="L163" s="563">
        <f t="array" ref="L163">IFERROR(INDEX(_xlfn._xlws.FILTER(INDIRECT(L$1&amp;"!$E1:$E10000"),INDIRECT(L$1&amp;"!$a1:$a10000")=汇总!$A163),COUNTIF(INDIRECT(L$1&amp;"!$a1:$a10000"),汇总!$A163)),L162)</f>
        <v/>
      </c>
      <c r="M163" s="563">
        <f t="array" ref="M163">IFERROR(INDEX(_xlfn._xlws.FILTER(INDIRECT(M$1&amp;"!$E1:$E10000"),INDIRECT(M$1&amp;"!$a1:$a10000")=汇总!$A163),COUNTIF(INDIRECT(M$1&amp;"!$a1:$a10000"),汇总!$A163)),M162)</f>
        <v/>
      </c>
      <c r="N163" s="563">
        <f t="array" ref="N163">IFERROR(INDEX(_xlfn._xlws.FILTER(INDIRECT(N$1&amp;"!$E1:$E10000"),INDIRECT(N$1&amp;"!$a1:$a10000")=汇总!$A163),COUNTIF(INDIRECT(N$1&amp;"!$a1:$a10000"),汇总!$A163)),N162)</f>
        <v/>
      </c>
      <c r="O163" s="563">
        <f t="array" ref="O163">IFERROR(INDEX(_xlfn._xlws.FILTER(INDIRECT(O$1&amp;"!$E1:$E10000"),INDIRECT(O$1&amp;"!$a1:$a10000")=汇总!$A163),COUNTIF(INDIRECT(O$1&amp;"!$a1:$a10000"),汇总!$A163)),O162)</f>
        <v/>
      </c>
      <c r="P163" s="563">
        <f t="array" ref="P163">IFERROR(INDEX(_xlfn._xlws.FILTER(INDIRECT(P$1&amp;"!$E1:$E10000"),INDIRECT(P$1&amp;"!$a1:$a10000")=汇总!$A163),COUNTIF(INDIRECT(P$1&amp;"!$a1:$a10000"),汇总!$A163)),P162)</f>
        <v/>
      </c>
      <c r="Q163" s="563">
        <f t="array" ref="Q163">IFERROR(INDEX(_xlfn._xlws.FILTER(INDIRECT(Q$1&amp;"!$E1:$E10000"),INDIRECT(Q$1&amp;"!$a1:$a10000")=汇总!$A163),COUNTIF(INDIRECT(Q$1&amp;"!$a1:$a10000"),汇总!$A163)),Q162)</f>
        <v/>
      </c>
      <c r="R163" s="563">
        <f t="array" ref="R163">IFERROR(INDEX(_xlfn._xlws.FILTER(INDIRECT(R$1&amp;"!$E1:$E10000"),INDIRECT(R$1&amp;"!$a1:$a10000")=汇总!$A163),COUNTIF(INDIRECT(R$1&amp;"!$a1:$a10000"),汇总!$A163)),R162)</f>
        <v/>
      </c>
      <c r="S163" s="563">
        <f t="array" ref="S163">IFERROR(INDEX(_xlfn._xlws.FILTER(INDIRECT(S$1&amp;"!$E1:$E10000"),INDIRECT(S$1&amp;"!$a1:$a10000")=汇总!$A163),COUNTIF(INDIRECT(S$1&amp;"!$a1:$a10000"),汇总!$A163)),S162)</f>
        <v/>
      </c>
      <c r="T163" s="563">
        <f t="array" ref="T163">IFERROR(INDEX(_xlfn._xlws.FILTER(INDIRECT(T$1&amp;"!$E1:$E10000"),INDIRECT(T$1&amp;"!$a1:$a10000")=汇总!$A163),COUNTIF(INDIRECT(T$1&amp;"!$a1:$a10000"),汇总!$A163)),T162)</f>
        <v/>
      </c>
    </row>
    <row r="164">
      <c r="A164" s="1">
        <f>+A163+1</f>
        <v/>
      </c>
      <c r="B164" s="563">
        <f t="array" ref="B164">IFERROR(INDEX(_xlfn._xlws.FILTER(INDIRECT(B$1&amp;"!$E1:$E10000"),INDIRECT(B$1&amp;"!$a1:$a10000")=汇总!$A164),COUNTIF(INDIRECT(B$1&amp;"!$a1:$a10000"),汇总!$A164)),B163)</f>
        <v/>
      </c>
      <c r="C164" s="563">
        <f t="array" ref="C164">IFERROR(INDEX(_xlfn._xlws.FILTER(INDIRECT(C$1&amp;"!$E1:$E10000"),INDIRECT(C$1&amp;"!$a1:$a10000")=汇总!$A164),COUNTIF(INDIRECT(C$1&amp;"!$a1:$a10000"),汇总!$A164)),C163)</f>
        <v/>
      </c>
      <c r="D164" s="563">
        <f t="array" ref="D164">IFERROR(INDEX(_xlfn._xlws.FILTER(INDIRECT(D$1&amp;"!$E1:$E10000"),INDIRECT(D$1&amp;"!$a1:$a10000")=汇总!$A164),COUNTIF(INDIRECT(D$1&amp;"!$a1:$a10000"),汇总!$A164)),D163)</f>
        <v/>
      </c>
      <c r="E164" s="563">
        <f t="array" ref="E164">IFERROR(INDEX(_xlfn._xlws.FILTER(INDIRECT(E$1&amp;"!$E1:$E10000"),INDIRECT(E$1&amp;"!$a1:$a10000")=汇总!$A164),COUNTIF(INDIRECT(E$1&amp;"!$a1:$a10000"),汇总!$A164)),E163)</f>
        <v/>
      </c>
      <c r="F164" s="563">
        <f t="array" ref="F164">IFERROR(INDEX(_xlfn._xlws.FILTER(INDIRECT(F$1&amp;"!$E1:$E10000"),INDIRECT(F$1&amp;"!$a1:$a10000")=汇总!$A164),COUNTIF(INDIRECT(F$1&amp;"!$a1:$a10000"),汇总!$A164)),F163)</f>
        <v/>
      </c>
      <c r="G164" s="563">
        <f t="array" ref="G164">IFERROR(INDEX(_xlfn._xlws.FILTER(INDIRECT(G$1&amp;"!$E1:$E10000"),INDIRECT(G$1&amp;"!$a1:$a10000")=汇总!$A164),COUNTIF(INDIRECT(G$1&amp;"!$a1:$a10000"),汇总!$A164)),G163)</f>
        <v/>
      </c>
      <c r="H164" s="563">
        <f t="array" ref="H164">IFERROR(INDEX(_xlfn._xlws.FILTER(INDIRECT(H$1&amp;"!$E1:$E10000"),INDIRECT(H$1&amp;"!$a1:$a10000")=汇总!$A164),COUNTIF(INDIRECT(H$1&amp;"!$a1:$a10000"),汇总!$A164)),H163)</f>
        <v/>
      </c>
      <c r="I164" s="563">
        <f t="array" ref="I164">IFERROR(INDEX(_xlfn._xlws.FILTER(INDIRECT(I$1&amp;"!$E1:$E10000"),INDIRECT(I$1&amp;"!$a1:$a10000")=汇总!$A164),COUNTIF(INDIRECT(I$1&amp;"!$a1:$a10000"),汇总!$A164)),I163)</f>
        <v/>
      </c>
      <c r="J164" s="563">
        <f t="array" ref="J164">IFERROR(INDEX(_xlfn._xlws.FILTER(INDIRECT(J$1&amp;"!$E1:$E10000"),INDIRECT(J$1&amp;"!$a1:$a10000")=汇总!$A164),COUNTIF(INDIRECT(J$1&amp;"!$a1:$a10000"),汇总!$A164)),J163)</f>
        <v/>
      </c>
      <c r="K164" s="563">
        <f t="array" ref="K164">IFERROR(INDEX(_xlfn._xlws.FILTER(INDIRECT(K$1&amp;"!$E1:$E10000"),INDIRECT(K$1&amp;"!$a1:$a10000")=汇总!$A164),COUNTIF(INDIRECT(K$1&amp;"!$a1:$a10000"),汇总!$A164)),K163)</f>
        <v/>
      </c>
      <c r="L164" s="563">
        <f t="array" ref="L164">IFERROR(INDEX(_xlfn._xlws.FILTER(INDIRECT(L$1&amp;"!$E1:$E10000"),INDIRECT(L$1&amp;"!$a1:$a10000")=汇总!$A164),COUNTIF(INDIRECT(L$1&amp;"!$a1:$a10000"),汇总!$A164)),L163)</f>
        <v/>
      </c>
      <c r="M164" s="563">
        <f t="array" ref="M164">IFERROR(INDEX(_xlfn._xlws.FILTER(INDIRECT(M$1&amp;"!$E1:$E10000"),INDIRECT(M$1&amp;"!$a1:$a10000")=汇总!$A164),COUNTIF(INDIRECT(M$1&amp;"!$a1:$a10000"),汇总!$A164)),M163)</f>
        <v/>
      </c>
      <c r="N164" s="563">
        <f t="array" ref="N164">IFERROR(INDEX(_xlfn._xlws.FILTER(INDIRECT(N$1&amp;"!$E1:$E10000"),INDIRECT(N$1&amp;"!$a1:$a10000")=汇总!$A164),COUNTIF(INDIRECT(N$1&amp;"!$a1:$a10000"),汇总!$A164)),N163)</f>
        <v/>
      </c>
      <c r="O164" s="563">
        <f t="array" ref="O164">IFERROR(INDEX(_xlfn._xlws.FILTER(INDIRECT(O$1&amp;"!$E1:$E10000"),INDIRECT(O$1&amp;"!$a1:$a10000")=汇总!$A164),COUNTIF(INDIRECT(O$1&amp;"!$a1:$a10000"),汇总!$A164)),O163)</f>
        <v/>
      </c>
      <c r="P164" s="563">
        <f t="array" ref="P164">IFERROR(INDEX(_xlfn._xlws.FILTER(INDIRECT(P$1&amp;"!$E1:$E10000"),INDIRECT(P$1&amp;"!$a1:$a10000")=汇总!$A164),COUNTIF(INDIRECT(P$1&amp;"!$a1:$a10000"),汇总!$A164)),P163)</f>
        <v/>
      </c>
      <c r="Q164" s="563">
        <f t="array" ref="Q164">IFERROR(INDEX(_xlfn._xlws.FILTER(INDIRECT(Q$1&amp;"!$E1:$E10000"),INDIRECT(Q$1&amp;"!$a1:$a10000")=汇总!$A164),COUNTIF(INDIRECT(Q$1&amp;"!$a1:$a10000"),汇总!$A164)),Q163)</f>
        <v/>
      </c>
      <c r="R164" s="563">
        <f t="array" ref="R164">IFERROR(INDEX(_xlfn._xlws.FILTER(INDIRECT(R$1&amp;"!$E1:$E10000"),INDIRECT(R$1&amp;"!$a1:$a10000")=汇总!$A164),COUNTIF(INDIRECT(R$1&amp;"!$a1:$a10000"),汇总!$A164)),R163)</f>
        <v/>
      </c>
      <c r="S164" s="563">
        <f t="array" ref="S164">IFERROR(INDEX(_xlfn._xlws.FILTER(INDIRECT(S$1&amp;"!$E1:$E10000"),INDIRECT(S$1&amp;"!$a1:$a10000")=汇总!$A164),COUNTIF(INDIRECT(S$1&amp;"!$a1:$a10000"),汇总!$A164)),S163)</f>
        <v/>
      </c>
      <c r="T164" s="563">
        <f t="array" ref="T164">IFERROR(INDEX(_xlfn._xlws.FILTER(INDIRECT(T$1&amp;"!$E1:$E10000"),INDIRECT(T$1&amp;"!$a1:$a10000")=汇总!$A164),COUNTIF(INDIRECT(T$1&amp;"!$a1:$a10000"),汇总!$A164)),T163)</f>
        <v/>
      </c>
    </row>
    <row r="165">
      <c r="A165" s="1">
        <f>+A164+1</f>
        <v/>
      </c>
      <c r="B165" s="563">
        <f t="array" ref="B165">IFERROR(INDEX(_xlfn._xlws.FILTER(INDIRECT(B$1&amp;"!$E1:$E10000"),INDIRECT(B$1&amp;"!$a1:$a10000")=汇总!$A165),COUNTIF(INDIRECT(B$1&amp;"!$a1:$a10000"),汇总!$A165)),B164)</f>
        <v/>
      </c>
      <c r="C165" s="563">
        <f t="array" ref="C165">IFERROR(INDEX(_xlfn._xlws.FILTER(INDIRECT(C$1&amp;"!$E1:$E10000"),INDIRECT(C$1&amp;"!$a1:$a10000")=汇总!$A165),COUNTIF(INDIRECT(C$1&amp;"!$a1:$a10000"),汇总!$A165)),C164)</f>
        <v/>
      </c>
      <c r="D165" s="563">
        <f t="array" ref="D165">IFERROR(INDEX(_xlfn._xlws.FILTER(INDIRECT(D$1&amp;"!$E1:$E10000"),INDIRECT(D$1&amp;"!$a1:$a10000")=汇总!$A165),COUNTIF(INDIRECT(D$1&amp;"!$a1:$a10000"),汇总!$A165)),D164)</f>
        <v/>
      </c>
      <c r="E165" s="563">
        <f t="array" ref="E165">IFERROR(INDEX(_xlfn._xlws.FILTER(INDIRECT(E$1&amp;"!$E1:$E10000"),INDIRECT(E$1&amp;"!$a1:$a10000")=汇总!$A165),COUNTIF(INDIRECT(E$1&amp;"!$a1:$a10000"),汇总!$A165)),E164)</f>
        <v/>
      </c>
      <c r="F165" s="563">
        <f t="array" ref="F165">IFERROR(INDEX(_xlfn._xlws.FILTER(INDIRECT(F$1&amp;"!$E1:$E10000"),INDIRECT(F$1&amp;"!$a1:$a10000")=汇总!$A165),COUNTIF(INDIRECT(F$1&amp;"!$a1:$a10000"),汇总!$A165)),F164)</f>
        <v/>
      </c>
      <c r="G165" s="563">
        <f t="array" ref="G165">IFERROR(INDEX(_xlfn._xlws.FILTER(INDIRECT(G$1&amp;"!$E1:$E10000"),INDIRECT(G$1&amp;"!$a1:$a10000")=汇总!$A165),COUNTIF(INDIRECT(G$1&amp;"!$a1:$a10000"),汇总!$A165)),G164)</f>
        <v/>
      </c>
      <c r="H165" s="563">
        <f t="array" ref="H165">IFERROR(INDEX(_xlfn._xlws.FILTER(INDIRECT(H$1&amp;"!$E1:$E10000"),INDIRECT(H$1&amp;"!$a1:$a10000")=汇总!$A165),COUNTIF(INDIRECT(H$1&amp;"!$a1:$a10000"),汇总!$A165)),H164)</f>
        <v/>
      </c>
      <c r="I165" s="563">
        <f t="array" ref="I165">IFERROR(INDEX(_xlfn._xlws.FILTER(INDIRECT(I$1&amp;"!$E1:$E10000"),INDIRECT(I$1&amp;"!$a1:$a10000")=汇总!$A165),COUNTIF(INDIRECT(I$1&amp;"!$a1:$a10000"),汇总!$A165)),I164)</f>
        <v/>
      </c>
      <c r="J165" s="563">
        <f t="array" ref="J165">IFERROR(INDEX(_xlfn._xlws.FILTER(INDIRECT(J$1&amp;"!$E1:$E10000"),INDIRECT(J$1&amp;"!$a1:$a10000")=汇总!$A165),COUNTIF(INDIRECT(J$1&amp;"!$a1:$a10000"),汇总!$A165)),J164)</f>
        <v/>
      </c>
      <c r="K165" s="563">
        <f t="array" ref="K165">IFERROR(INDEX(_xlfn._xlws.FILTER(INDIRECT(K$1&amp;"!$E1:$E10000"),INDIRECT(K$1&amp;"!$a1:$a10000")=汇总!$A165),COUNTIF(INDIRECT(K$1&amp;"!$a1:$a10000"),汇总!$A165)),K164)</f>
        <v/>
      </c>
      <c r="L165" s="563">
        <f t="array" ref="L165">IFERROR(INDEX(_xlfn._xlws.FILTER(INDIRECT(L$1&amp;"!$E1:$E10000"),INDIRECT(L$1&amp;"!$a1:$a10000")=汇总!$A165),COUNTIF(INDIRECT(L$1&amp;"!$a1:$a10000"),汇总!$A165)),L164)</f>
        <v/>
      </c>
      <c r="M165" s="563">
        <f t="array" ref="M165">IFERROR(INDEX(_xlfn._xlws.FILTER(INDIRECT(M$1&amp;"!$E1:$E10000"),INDIRECT(M$1&amp;"!$a1:$a10000")=汇总!$A165),COUNTIF(INDIRECT(M$1&amp;"!$a1:$a10000"),汇总!$A165)),M164)</f>
        <v/>
      </c>
      <c r="N165" s="563">
        <f t="array" ref="N165">IFERROR(INDEX(_xlfn._xlws.FILTER(INDIRECT(N$1&amp;"!$E1:$E10000"),INDIRECT(N$1&amp;"!$a1:$a10000")=汇总!$A165),COUNTIF(INDIRECT(N$1&amp;"!$a1:$a10000"),汇总!$A165)),N164)</f>
        <v/>
      </c>
      <c r="O165" s="563">
        <f t="array" ref="O165">IFERROR(INDEX(_xlfn._xlws.FILTER(INDIRECT(O$1&amp;"!$E1:$E10000"),INDIRECT(O$1&amp;"!$a1:$a10000")=汇总!$A165),COUNTIF(INDIRECT(O$1&amp;"!$a1:$a10000"),汇总!$A165)),O164)</f>
        <v/>
      </c>
      <c r="P165" s="563">
        <f t="array" ref="P165">IFERROR(INDEX(_xlfn._xlws.FILTER(INDIRECT(P$1&amp;"!$E1:$E10000"),INDIRECT(P$1&amp;"!$a1:$a10000")=汇总!$A165),COUNTIF(INDIRECT(P$1&amp;"!$a1:$a10000"),汇总!$A165)),P164)</f>
        <v/>
      </c>
      <c r="Q165" s="563">
        <f t="array" ref="Q165">IFERROR(INDEX(_xlfn._xlws.FILTER(INDIRECT(Q$1&amp;"!$E1:$E10000"),INDIRECT(Q$1&amp;"!$a1:$a10000")=汇总!$A165),COUNTIF(INDIRECT(Q$1&amp;"!$a1:$a10000"),汇总!$A165)),Q164)</f>
        <v/>
      </c>
      <c r="R165" s="563">
        <f t="array" ref="R165">IFERROR(INDEX(_xlfn._xlws.FILTER(INDIRECT(R$1&amp;"!$E1:$E10000"),INDIRECT(R$1&amp;"!$a1:$a10000")=汇总!$A165),COUNTIF(INDIRECT(R$1&amp;"!$a1:$a10000"),汇总!$A165)),R164)</f>
        <v/>
      </c>
      <c r="S165" s="563">
        <f t="array" ref="S165">IFERROR(INDEX(_xlfn._xlws.FILTER(INDIRECT(S$1&amp;"!$E1:$E10000"),INDIRECT(S$1&amp;"!$a1:$a10000")=汇总!$A165),COUNTIF(INDIRECT(S$1&amp;"!$a1:$a10000"),汇总!$A165)),S164)</f>
        <v/>
      </c>
      <c r="T165" s="563">
        <f t="array" ref="T165">IFERROR(INDEX(_xlfn._xlws.FILTER(INDIRECT(T$1&amp;"!$E1:$E10000"),INDIRECT(T$1&amp;"!$a1:$a10000")=汇总!$A165),COUNTIF(INDIRECT(T$1&amp;"!$a1:$a10000"),汇总!$A165)),T164)</f>
        <v/>
      </c>
    </row>
    <row r="166">
      <c r="A166" s="1">
        <f>+A165+1</f>
        <v/>
      </c>
      <c r="B166" s="563">
        <f t="array" ref="B166">IFERROR(INDEX(_xlfn._xlws.FILTER(INDIRECT(B$1&amp;"!$E1:$E10000"),INDIRECT(B$1&amp;"!$a1:$a10000")=汇总!$A166),COUNTIF(INDIRECT(B$1&amp;"!$a1:$a10000"),汇总!$A166)),B165)</f>
        <v/>
      </c>
      <c r="C166" s="563">
        <f t="array" ref="C166">IFERROR(INDEX(_xlfn._xlws.FILTER(INDIRECT(C$1&amp;"!$E1:$E10000"),INDIRECT(C$1&amp;"!$a1:$a10000")=汇总!$A166),COUNTIF(INDIRECT(C$1&amp;"!$a1:$a10000"),汇总!$A166)),C165)</f>
        <v/>
      </c>
      <c r="D166" s="563">
        <f t="array" ref="D166">IFERROR(INDEX(_xlfn._xlws.FILTER(INDIRECT(D$1&amp;"!$E1:$E10000"),INDIRECT(D$1&amp;"!$a1:$a10000")=汇总!$A166),COUNTIF(INDIRECT(D$1&amp;"!$a1:$a10000"),汇总!$A166)),D165)</f>
        <v/>
      </c>
      <c r="E166" s="563">
        <f t="array" ref="E166">IFERROR(INDEX(_xlfn._xlws.FILTER(INDIRECT(E$1&amp;"!$E1:$E10000"),INDIRECT(E$1&amp;"!$a1:$a10000")=汇总!$A166),COUNTIF(INDIRECT(E$1&amp;"!$a1:$a10000"),汇总!$A166)),E165)</f>
        <v/>
      </c>
      <c r="F166" s="563">
        <f t="array" ref="F166">IFERROR(INDEX(_xlfn._xlws.FILTER(INDIRECT(F$1&amp;"!$E1:$E10000"),INDIRECT(F$1&amp;"!$a1:$a10000")=汇总!$A166),COUNTIF(INDIRECT(F$1&amp;"!$a1:$a10000"),汇总!$A166)),F165)</f>
        <v/>
      </c>
      <c r="G166" s="563">
        <f t="array" ref="G166">IFERROR(INDEX(_xlfn._xlws.FILTER(INDIRECT(G$1&amp;"!$E1:$E10000"),INDIRECT(G$1&amp;"!$a1:$a10000")=汇总!$A166),COUNTIF(INDIRECT(G$1&amp;"!$a1:$a10000"),汇总!$A166)),G165)</f>
        <v/>
      </c>
      <c r="H166" s="563">
        <f t="array" ref="H166">IFERROR(INDEX(_xlfn._xlws.FILTER(INDIRECT(H$1&amp;"!$E1:$E10000"),INDIRECT(H$1&amp;"!$a1:$a10000")=汇总!$A166),COUNTIF(INDIRECT(H$1&amp;"!$a1:$a10000"),汇总!$A166)),H165)</f>
        <v/>
      </c>
      <c r="I166" s="563">
        <f t="array" ref="I166">IFERROR(INDEX(_xlfn._xlws.FILTER(INDIRECT(I$1&amp;"!$E1:$E10000"),INDIRECT(I$1&amp;"!$a1:$a10000")=汇总!$A166),COUNTIF(INDIRECT(I$1&amp;"!$a1:$a10000"),汇总!$A166)),I165)</f>
        <v/>
      </c>
      <c r="J166" s="563">
        <f t="array" ref="J166">IFERROR(INDEX(_xlfn._xlws.FILTER(INDIRECT(J$1&amp;"!$E1:$E10000"),INDIRECT(J$1&amp;"!$a1:$a10000")=汇总!$A166),COUNTIF(INDIRECT(J$1&amp;"!$a1:$a10000"),汇总!$A166)),J165)</f>
        <v/>
      </c>
      <c r="K166" s="563">
        <f t="array" ref="K166">IFERROR(INDEX(_xlfn._xlws.FILTER(INDIRECT(K$1&amp;"!$E1:$E10000"),INDIRECT(K$1&amp;"!$a1:$a10000")=汇总!$A166),COUNTIF(INDIRECT(K$1&amp;"!$a1:$a10000"),汇总!$A166)),K165)</f>
        <v/>
      </c>
      <c r="L166" s="563">
        <f t="array" ref="L166">IFERROR(INDEX(_xlfn._xlws.FILTER(INDIRECT(L$1&amp;"!$E1:$E10000"),INDIRECT(L$1&amp;"!$a1:$a10000")=汇总!$A166),COUNTIF(INDIRECT(L$1&amp;"!$a1:$a10000"),汇总!$A166)),L165)</f>
        <v/>
      </c>
      <c r="M166" s="563">
        <f t="array" ref="M166">IFERROR(INDEX(_xlfn._xlws.FILTER(INDIRECT(M$1&amp;"!$E1:$E10000"),INDIRECT(M$1&amp;"!$a1:$a10000")=汇总!$A166),COUNTIF(INDIRECT(M$1&amp;"!$a1:$a10000"),汇总!$A166)),M165)</f>
        <v/>
      </c>
      <c r="N166" s="563">
        <f t="array" ref="N166">IFERROR(INDEX(_xlfn._xlws.FILTER(INDIRECT(N$1&amp;"!$E1:$E10000"),INDIRECT(N$1&amp;"!$a1:$a10000")=汇总!$A166),COUNTIF(INDIRECT(N$1&amp;"!$a1:$a10000"),汇总!$A166)),N165)</f>
        <v/>
      </c>
      <c r="O166" s="563">
        <f t="array" ref="O166">IFERROR(INDEX(_xlfn._xlws.FILTER(INDIRECT(O$1&amp;"!$E1:$E10000"),INDIRECT(O$1&amp;"!$a1:$a10000")=汇总!$A166),COUNTIF(INDIRECT(O$1&amp;"!$a1:$a10000"),汇总!$A166)),O165)</f>
        <v/>
      </c>
      <c r="P166" s="563">
        <f t="array" ref="P166">IFERROR(INDEX(_xlfn._xlws.FILTER(INDIRECT(P$1&amp;"!$E1:$E10000"),INDIRECT(P$1&amp;"!$a1:$a10000")=汇总!$A166),COUNTIF(INDIRECT(P$1&amp;"!$a1:$a10000"),汇总!$A166)),P165)</f>
        <v/>
      </c>
      <c r="Q166" s="563">
        <f t="array" ref="Q166">IFERROR(INDEX(_xlfn._xlws.FILTER(INDIRECT(Q$1&amp;"!$E1:$E10000"),INDIRECT(Q$1&amp;"!$a1:$a10000")=汇总!$A166),COUNTIF(INDIRECT(Q$1&amp;"!$a1:$a10000"),汇总!$A166)),Q165)</f>
        <v/>
      </c>
      <c r="R166" s="563">
        <f t="array" ref="R166">IFERROR(INDEX(_xlfn._xlws.FILTER(INDIRECT(R$1&amp;"!$E1:$E10000"),INDIRECT(R$1&amp;"!$a1:$a10000")=汇总!$A166),COUNTIF(INDIRECT(R$1&amp;"!$a1:$a10000"),汇总!$A166)),R165)</f>
        <v/>
      </c>
      <c r="S166" s="563">
        <f t="array" ref="S166">IFERROR(INDEX(_xlfn._xlws.FILTER(INDIRECT(S$1&amp;"!$E1:$E10000"),INDIRECT(S$1&amp;"!$a1:$a10000")=汇总!$A166),COUNTIF(INDIRECT(S$1&amp;"!$a1:$a10000"),汇总!$A166)),S165)</f>
        <v/>
      </c>
      <c r="T166" s="563">
        <f t="array" ref="T166">IFERROR(INDEX(_xlfn._xlws.FILTER(INDIRECT(T$1&amp;"!$E1:$E10000"),INDIRECT(T$1&amp;"!$a1:$a10000")=汇总!$A166),COUNTIF(INDIRECT(T$1&amp;"!$a1:$a10000"),汇总!$A166)),T165)</f>
        <v/>
      </c>
    </row>
    <row r="167">
      <c r="A167" s="1">
        <f>+A166+1</f>
        <v/>
      </c>
      <c r="B167" s="563">
        <f t="array" ref="B167">IFERROR(INDEX(_xlfn._xlws.FILTER(INDIRECT(B$1&amp;"!$E1:$E10000"),INDIRECT(B$1&amp;"!$a1:$a10000")=汇总!$A167),COUNTIF(INDIRECT(B$1&amp;"!$a1:$a10000"),汇总!$A167)),B166)</f>
        <v/>
      </c>
      <c r="C167" s="563">
        <f t="array" ref="C167">IFERROR(INDEX(_xlfn._xlws.FILTER(INDIRECT(C$1&amp;"!$E1:$E10000"),INDIRECT(C$1&amp;"!$a1:$a10000")=汇总!$A167),COUNTIF(INDIRECT(C$1&amp;"!$a1:$a10000"),汇总!$A167)),C166)</f>
        <v/>
      </c>
      <c r="D167" s="563">
        <f t="array" ref="D167">IFERROR(INDEX(_xlfn._xlws.FILTER(INDIRECT(D$1&amp;"!$E1:$E10000"),INDIRECT(D$1&amp;"!$a1:$a10000")=汇总!$A167),COUNTIF(INDIRECT(D$1&amp;"!$a1:$a10000"),汇总!$A167)),D166)</f>
        <v/>
      </c>
      <c r="E167" s="563">
        <f t="array" ref="E167">IFERROR(INDEX(_xlfn._xlws.FILTER(INDIRECT(E$1&amp;"!$E1:$E10000"),INDIRECT(E$1&amp;"!$a1:$a10000")=汇总!$A167),COUNTIF(INDIRECT(E$1&amp;"!$a1:$a10000"),汇总!$A167)),E166)</f>
        <v/>
      </c>
      <c r="F167" s="563">
        <f t="array" ref="F167">IFERROR(INDEX(_xlfn._xlws.FILTER(INDIRECT(F$1&amp;"!$E1:$E10000"),INDIRECT(F$1&amp;"!$a1:$a10000")=汇总!$A167),COUNTIF(INDIRECT(F$1&amp;"!$a1:$a10000"),汇总!$A167)),F166)</f>
        <v/>
      </c>
      <c r="G167" s="563">
        <f t="array" ref="G167">IFERROR(INDEX(_xlfn._xlws.FILTER(INDIRECT(G$1&amp;"!$E1:$E10000"),INDIRECT(G$1&amp;"!$a1:$a10000")=汇总!$A167),COUNTIF(INDIRECT(G$1&amp;"!$a1:$a10000"),汇总!$A167)),G166)</f>
        <v/>
      </c>
      <c r="H167" s="563">
        <f t="array" ref="H167">IFERROR(INDEX(_xlfn._xlws.FILTER(INDIRECT(H$1&amp;"!$E1:$E10000"),INDIRECT(H$1&amp;"!$a1:$a10000")=汇总!$A167),COUNTIF(INDIRECT(H$1&amp;"!$a1:$a10000"),汇总!$A167)),H166)</f>
        <v/>
      </c>
      <c r="I167" s="563">
        <f t="array" ref="I167">IFERROR(INDEX(_xlfn._xlws.FILTER(INDIRECT(I$1&amp;"!$E1:$E10000"),INDIRECT(I$1&amp;"!$a1:$a10000")=汇总!$A167),COUNTIF(INDIRECT(I$1&amp;"!$a1:$a10000"),汇总!$A167)),I166)</f>
        <v/>
      </c>
      <c r="J167" s="563">
        <f t="array" ref="J167">IFERROR(INDEX(_xlfn._xlws.FILTER(INDIRECT(J$1&amp;"!$E1:$E10000"),INDIRECT(J$1&amp;"!$a1:$a10000")=汇总!$A167),COUNTIF(INDIRECT(J$1&amp;"!$a1:$a10000"),汇总!$A167)),J166)</f>
        <v/>
      </c>
      <c r="K167" s="563">
        <f t="array" ref="K167">IFERROR(INDEX(_xlfn._xlws.FILTER(INDIRECT(K$1&amp;"!$E1:$E10000"),INDIRECT(K$1&amp;"!$a1:$a10000")=汇总!$A167),COUNTIF(INDIRECT(K$1&amp;"!$a1:$a10000"),汇总!$A167)),K166)</f>
        <v/>
      </c>
      <c r="L167" s="563">
        <f t="array" ref="L167">IFERROR(INDEX(_xlfn._xlws.FILTER(INDIRECT(L$1&amp;"!$E1:$E10000"),INDIRECT(L$1&amp;"!$a1:$a10000")=汇总!$A167),COUNTIF(INDIRECT(L$1&amp;"!$a1:$a10000"),汇总!$A167)),L166)</f>
        <v/>
      </c>
      <c r="M167" s="563">
        <f t="array" ref="M167">IFERROR(INDEX(_xlfn._xlws.FILTER(INDIRECT(M$1&amp;"!$E1:$E10000"),INDIRECT(M$1&amp;"!$a1:$a10000")=汇总!$A167),COUNTIF(INDIRECT(M$1&amp;"!$a1:$a10000"),汇总!$A167)),M166)</f>
        <v/>
      </c>
      <c r="N167" s="563">
        <f t="array" ref="N167">IFERROR(INDEX(_xlfn._xlws.FILTER(INDIRECT(N$1&amp;"!$E1:$E10000"),INDIRECT(N$1&amp;"!$a1:$a10000")=汇总!$A167),COUNTIF(INDIRECT(N$1&amp;"!$a1:$a10000"),汇总!$A167)),N166)</f>
        <v/>
      </c>
      <c r="O167" s="563">
        <f t="array" ref="O167">IFERROR(INDEX(_xlfn._xlws.FILTER(INDIRECT(O$1&amp;"!$E1:$E10000"),INDIRECT(O$1&amp;"!$a1:$a10000")=汇总!$A167),COUNTIF(INDIRECT(O$1&amp;"!$a1:$a10000"),汇总!$A167)),O166)</f>
        <v/>
      </c>
      <c r="P167" s="563">
        <f t="array" ref="P167">IFERROR(INDEX(_xlfn._xlws.FILTER(INDIRECT(P$1&amp;"!$E1:$E10000"),INDIRECT(P$1&amp;"!$a1:$a10000")=汇总!$A167),COUNTIF(INDIRECT(P$1&amp;"!$a1:$a10000"),汇总!$A167)),P166)</f>
        <v/>
      </c>
      <c r="Q167" s="563">
        <f t="array" ref="Q167">IFERROR(INDEX(_xlfn._xlws.FILTER(INDIRECT(Q$1&amp;"!$E1:$E10000"),INDIRECT(Q$1&amp;"!$a1:$a10000")=汇总!$A167),COUNTIF(INDIRECT(Q$1&amp;"!$a1:$a10000"),汇总!$A167)),Q166)</f>
        <v/>
      </c>
      <c r="R167" s="563">
        <f t="array" ref="R167">IFERROR(INDEX(_xlfn._xlws.FILTER(INDIRECT(R$1&amp;"!$E1:$E10000"),INDIRECT(R$1&amp;"!$a1:$a10000")=汇总!$A167),COUNTIF(INDIRECT(R$1&amp;"!$a1:$a10000"),汇总!$A167)),R166)</f>
        <v/>
      </c>
      <c r="S167" s="563">
        <f t="array" ref="S167">IFERROR(INDEX(_xlfn._xlws.FILTER(INDIRECT(S$1&amp;"!$E1:$E10000"),INDIRECT(S$1&amp;"!$a1:$a10000")=汇总!$A167),COUNTIF(INDIRECT(S$1&amp;"!$a1:$a10000"),汇总!$A167)),S166)</f>
        <v/>
      </c>
      <c r="T167" s="563">
        <f t="array" ref="T167">IFERROR(INDEX(_xlfn._xlws.FILTER(INDIRECT(T$1&amp;"!$E1:$E10000"),INDIRECT(T$1&amp;"!$a1:$a10000")=汇总!$A167),COUNTIF(INDIRECT(T$1&amp;"!$a1:$a10000"),汇总!$A167)),T166)</f>
        <v/>
      </c>
    </row>
    <row r="168">
      <c r="A168" s="1">
        <f>+A167+1</f>
        <v/>
      </c>
      <c r="B168" s="563">
        <f t="array" ref="B168">IFERROR(INDEX(_xlfn._xlws.FILTER(INDIRECT(B$1&amp;"!$E1:$E10000"),INDIRECT(B$1&amp;"!$a1:$a10000")=汇总!$A168),COUNTIF(INDIRECT(B$1&amp;"!$a1:$a10000"),汇总!$A168)),B167)</f>
        <v/>
      </c>
      <c r="C168" s="563">
        <f t="array" ref="C168">IFERROR(INDEX(_xlfn._xlws.FILTER(INDIRECT(C$1&amp;"!$E1:$E10000"),INDIRECT(C$1&amp;"!$a1:$a10000")=汇总!$A168),COUNTIF(INDIRECT(C$1&amp;"!$a1:$a10000"),汇总!$A168)),C167)</f>
        <v/>
      </c>
      <c r="D168" s="563">
        <f t="array" ref="D168">IFERROR(INDEX(_xlfn._xlws.FILTER(INDIRECT(D$1&amp;"!$E1:$E10000"),INDIRECT(D$1&amp;"!$a1:$a10000")=汇总!$A168),COUNTIF(INDIRECT(D$1&amp;"!$a1:$a10000"),汇总!$A168)),D167)</f>
        <v/>
      </c>
      <c r="E168" s="563">
        <f t="array" ref="E168">IFERROR(INDEX(_xlfn._xlws.FILTER(INDIRECT(E$1&amp;"!$E1:$E10000"),INDIRECT(E$1&amp;"!$a1:$a10000")=汇总!$A168),COUNTIF(INDIRECT(E$1&amp;"!$a1:$a10000"),汇总!$A168)),E167)</f>
        <v/>
      </c>
      <c r="F168" s="563">
        <f t="array" ref="F168">IFERROR(INDEX(_xlfn._xlws.FILTER(INDIRECT(F$1&amp;"!$E1:$E10000"),INDIRECT(F$1&amp;"!$a1:$a10000")=汇总!$A168),COUNTIF(INDIRECT(F$1&amp;"!$a1:$a10000"),汇总!$A168)),F167)</f>
        <v/>
      </c>
      <c r="G168" s="563">
        <f t="array" ref="G168">IFERROR(INDEX(_xlfn._xlws.FILTER(INDIRECT(G$1&amp;"!$E1:$E10000"),INDIRECT(G$1&amp;"!$a1:$a10000")=汇总!$A168),COUNTIF(INDIRECT(G$1&amp;"!$a1:$a10000"),汇总!$A168)),G167)</f>
        <v/>
      </c>
      <c r="H168" s="563">
        <f t="array" ref="H168">IFERROR(INDEX(_xlfn._xlws.FILTER(INDIRECT(H$1&amp;"!$E1:$E10000"),INDIRECT(H$1&amp;"!$a1:$a10000")=汇总!$A168),COUNTIF(INDIRECT(H$1&amp;"!$a1:$a10000"),汇总!$A168)),H167)</f>
        <v/>
      </c>
      <c r="I168" s="563">
        <f t="array" ref="I168">IFERROR(INDEX(_xlfn._xlws.FILTER(INDIRECT(I$1&amp;"!$E1:$E10000"),INDIRECT(I$1&amp;"!$a1:$a10000")=汇总!$A168),COUNTIF(INDIRECT(I$1&amp;"!$a1:$a10000"),汇总!$A168)),I167)</f>
        <v/>
      </c>
      <c r="J168" s="563">
        <f t="array" ref="J168">IFERROR(INDEX(_xlfn._xlws.FILTER(INDIRECT(J$1&amp;"!$E1:$E10000"),INDIRECT(J$1&amp;"!$a1:$a10000")=汇总!$A168),COUNTIF(INDIRECT(J$1&amp;"!$a1:$a10000"),汇总!$A168)),J167)</f>
        <v/>
      </c>
      <c r="K168" s="563">
        <f t="array" ref="K168">IFERROR(INDEX(_xlfn._xlws.FILTER(INDIRECT(K$1&amp;"!$E1:$E10000"),INDIRECT(K$1&amp;"!$a1:$a10000")=汇总!$A168),COUNTIF(INDIRECT(K$1&amp;"!$a1:$a10000"),汇总!$A168)),K167)</f>
        <v/>
      </c>
      <c r="L168" s="563">
        <f t="array" ref="L168">IFERROR(INDEX(_xlfn._xlws.FILTER(INDIRECT(L$1&amp;"!$E1:$E10000"),INDIRECT(L$1&amp;"!$a1:$a10000")=汇总!$A168),COUNTIF(INDIRECT(L$1&amp;"!$a1:$a10000"),汇总!$A168)),L167)</f>
        <v/>
      </c>
      <c r="M168" s="563">
        <f t="array" ref="M168">IFERROR(INDEX(_xlfn._xlws.FILTER(INDIRECT(M$1&amp;"!$E1:$E10000"),INDIRECT(M$1&amp;"!$a1:$a10000")=汇总!$A168),COUNTIF(INDIRECT(M$1&amp;"!$a1:$a10000"),汇总!$A168)),M167)</f>
        <v/>
      </c>
      <c r="N168" s="563">
        <f t="array" ref="N168">IFERROR(INDEX(_xlfn._xlws.FILTER(INDIRECT(N$1&amp;"!$E1:$E10000"),INDIRECT(N$1&amp;"!$a1:$a10000")=汇总!$A168),COUNTIF(INDIRECT(N$1&amp;"!$a1:$a10000"),汇总!$A168)),N167)</f>
        <v/>
      </c>
      <c r="O168" s="563">
        <f t="array" ref="O168">IFERROR(INDEX(_xlfn._xlws.FILTER(INDIRECT(O$1&amp;"!$E1:$E10000"),INDIRECT(O$1&amp;"!$a1:$a10000")=汇总!$A168),COUNTIF(INDIRECT(O$1&amp;"!$a1:$a10000"),汇总!$A168)),O167)</f>
        <v/>
      </c>
      <c r="P168" s="563">
        <f t="array" ref="P168">IFERROR(INDEX(_xlfn._xlws.FILTER(INDIRECT(P$1&amp;"!$E1:$E10000"),INDIRECT(P$1&amp;"!$a1:$a10000")=汇总!$A168),COUNTIF(INDIRECT(P$1&amp;"!$a1:$a10000"),汇总!$A168)),P167)</f>
        <v/>
      </c>
      <c r="Q168" s="563">
        <f t="array" ref="Q168">IFERROR(INDEX(_xlfn._xlws.FILTER(INDIRECT(Q$1&amp;"!$E1:$E10000"),INDIRECT(Q$1&amp;"!$a1:$a10000")=汇总!$A168),COUNTIF(INDIRECT(Q$1&amp;"!$a1:$a10000"),汇总!$A168)),Q167)</f>
        <v/>
      </c>
      <c r="R168" s="563">
        <f t="array" ref="R168">IFERROR(INDEX(_xlfn._xlws.FILTER(INDIRECT(R$1&amp;"!$E1:$E10000"),INDIRECT(R$1&amp;"!$a1:$a10000")=汇总!$A168),COUNTIF(INDIRECT(R$1&amp;"!$a1:$a10000"),汇总!$A168)),R167)</f>
        <v/>
      </c>
      <c r="S168" s="563">
        <f t="array" ref="S168">IFERROR(INDEX(_xlfn._xlws.FILTER(INDIRECT(S$1&amp;"!$E1:$E10000"),INDIRECT(S$1&amp;"!$a1:$a10000")=汇总!$A168),COUNTIF(INDIRECT(S$1&amp;"!$a1:$a10000"),汇总!$A168)),S167)</f>
        <v/>
      </c>
      <c r="T168" s="563">
        <f t="array" ref="T168">IFERROR(INDEX(_xlfn._xlws.FILTER(INDIRECT(T$1&amp;"!$E1:$E10000"),INDIRECT(T$1&amp;"!$a1:$a10000")=汇总!$A168),COUNTIF(INDIRECT(T$1&amp;"!$a1:$a10000"),汇总!$A168)),T167)</f>
        <v/>
      </c>
    </row>
  </sheetData>
  <conditionalFormatting sqref="A1:A1048576">
    <cfRule type="expression" priority="1" dxfId="85">
      <formula>A1=TODAY()</formula>
    </cfRule>
  </conditionalFormatting>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X183"/>
  <sheetViews>
    <sheetView zoomScaleNormal="100" workbookViewId="0">
      <pane ySplit="2" topLeftCell="A148" activePane="bottomLeft" state="frozen"/>
      <selection activeCell="A1" sqref="A1:E1"/>
      <selection pane="bottomLeft" activeCell="A161" sqref="A161:C161"/>
    </sheetView>
  </sheetViews>
  <sheetFormatPr baseColWidth="8" defaultColWidth="9" defaultRowHeight="16.5"/>
  <cols>
    <col width="13.5" customWidth="1" style="4" min="1" max="1"/>
    <col width="25" customWidth="1" style="326" min="2" max="2"/>
    <col width="7.75" customWidth="1" style="326" min="3" max="4"/>
    <col width="10.25" bestFit="1" customWidth="1" style="563" min="5" max="5"/>
    <col width="8.625" customWidth="1" style="326" min="6" max="6"/>
    <col width="13.5" bestFit="1" customWidth="1" style="326" min="7" max="7"/>
    <col width="13.625" bestFit="1" customWidth="1" style="326" min="8" max="8"/>
    <col width="10.75" bestFit="1" customWidth="1" style="564" min="9" max="9"/>
    <col width="17.375" bestFit="1" customWidth="1" style="565" min="10" max="10"/>
    <col width="11.25" customWidth="1" style="565" min="11" max="11"/>
    <col width="10.625" bestFit="1" customWidth="1" style="564" min="12" max="12"/>
    <col width="9.75" customWidth="1" style="326" min="13" max="13"/>
    <col width="8.625" customWidth="1" style="326" min="14" max="24"/>
    <col width="9" customWidth="1" style="119" min="25" max="16384"/>
  </cols>
  <sheetData>
    <row r="1" ht="28.35" customFormat="1" customHeight="1" s="118">
      <c r="A1" s="10" t="n"/>
      <c r="B1" s="10" t="n"/>
      <c r="C1" s="10" t="n"/>
      <c r="D1" s="10" t="n"/>
      <c r="E1" s="10" t="n"/>
      <c r="G1" s="119" t="n"/>
      <c r="I1" s="566" t="n"/>
      <c r="J1" s="567" t="n"/>
      <c r="K1" s="567" t="n"/>
      <c r="L1" s="566" t="n"/>
    </row>
    <row r="2">
      <c r="A2" s="4" t="inlineStr">
        <is>
          <t>日期</t>
        </is>
      </c>
      <c r="B2" s="0" t="inlineStr">
        <is>
          <t>现金流类型</t>
        </is>
      </c>
      <c r="C2" s="0" t="inlineStr">
        <is>
          <t>现金流入</t>
        </is>
      </c>
      <c r="D2" s="0" t="inlineStr">
        <is>
          <t>现金流出</t>
        </is>
      </c>
      <c r="E2" s="563" t="inlineStr">
        <is>
          <t>期末余额</t>
        </is>
      </c>
      <c r="F2" s="119" t="n"/>
      <c r="G2" s="119" t="n"/>
      <c r="H2" s="119" t="n"/>
      <c r="I2" s="568" t="n"/>
      <c r="J2" s="569" t="n"/>
      <c r="K2" s="569" t="n"/>
      <c r="L2" s="568" t="n"/>
      <c r="M2" s="119" t="n"/>
      <c r="N2" s="119" t="n"/>
      <c r="O2" s="119" t="n"/>
      <c r="P2" s="119" t="n"/>
      <c r="Q2" s="119" t="n"/>
      <c r="R2" s="119" t="n"/>
      <c r="S2" s="119" t="n"/>
      <c r="T2" s="119" t="n"/>
      <c r="U2" s="119" t="n"/>
      <c r="V2" s="119" t="n"/>
      <c r="W2" s="119" t="n"/>
      <c r="X2" s="119" t="n"/>
    </row>
    <row r="3">
      <c r="A3" s="4" t="n">
        <v>46023</v>
      </c>
      <c r="E3" s="563" t="n">
        <v>619</v>
      </c>
      <c r="F3" s="119" t="n"/>
      <c r="G3" s="119" t="n"/>
      <c r="H3" s="119" t="n"/>
      <c r="I3" s="568" t="n"/>
      <c r="J3" s="569" t="n"/>
      <c r="K3" s="569" t="n"/>
      <c r="L3" s="568" t="n"/>
      <c r="M3" s="119" t="n"/>
      <c r="N3" s="119" t="n"/>
      <c r="O3" s="119" t="n"/>
      <c r="P3" s="119" t="n"/>
      <c r="Q3" s="119" t="n"/>
      <c r="R3" s="119" t="n"/>
      <c r="S3" s="119" t="n"/>
      <c r="T3" s="119" t="n"/>
      <c r="U3" s="119" t="n"/>
      <c r="V3" s="119" t="n"/>
      <c r="W3" s="119" t="n"/>
      <c r="X3" s="119" t="n"/>
    </row>
    <row r="4">
      <c r="A4" s="110" t="n">
        <v>45664</v>
      </c>
      <c r="B4" s="112" t="inlineStr">
        <is>
          <t>雪球申购</t>
        </is>
      </c>
      <c r="C4" s="112" t="n">
        <v>552</v>
      </c>
      <c r="D4" s="112" t="n"/>
      <c r="E4" s="120">
        <f>E3+C4-D4</f>
        <v/>
      </c>
      <c r="F4" s="119" t="n"/>
      <c r="G4" s="119" t="n"/>
      <c r="H4" s="119" t="n"/>
      <c r="I4" s="568" t="n"/>
      <c r="J4" s="569" t="n"/>
      <c r="K4" s="569" t="n"/>
      <c r="L4" s="568" t="n"/>
      <c r="M4" s="119" t="n"/>
      <c r="N4" s="119" t="n"/>
      <c r="O4" s="119" t="n"/>
      <c r="P4" s="119" t="n"/>
      <c r="Q4" s="119" t="n"/>
      <c r="R4" s="119" t="n"/>
      <c r="S4" s="119" t="n"/>
      <c r="T4" s="119" t="n"/>
      <c r="U4" s="119" t="n"/>
      <c r="V4" s="119" t="n"/>
      <c r="W4" s="119" t="n"/>
      <c r="X4" s="119" t="n"/>
    </row>
    <row r="5">
      <c r="A5" s="110" t="n">
        <v>46029</v>
      </c>
      <c r="B5" s="112" t="inlineStr">
        <is>
          <t>诚瑞1A2</t>
        </is>
      </c>
      <c r="C5" s="112" t="n"/>
      <c r="D5" s="112" t="n">
        <v>1003</v>
      </c>
      <c r="E5" s="120" t="n">
        <v>164</v>
      </c>
      <c r="F5" s="119" t="inlineStr">
        <is>
          <t>鑫沅代持</t>
        </is>
      </c>
      <c r="G5" s="119" t="n"/>
      <c r="H5" s="119" t="n"/>
      <c r="I5" s="568" t="n"/>
      <c r="J5" s="569" t="n"/>
      <c r="K5" s="569" t="n"/>
      <c r="L5" s="568" t="n"/>
      <c r="M5" s="119" t="n"/>
      <c r="N5" s="119" t="n"/>
      <c r="O5" s="119" t="n"/>
      <c r="P5" s="119" t="n"/>
      <c r="Q5" s="119" t="n"/>
      <c r="R5" s="119" t="n"/>
      <c r="S5" s="119" t="n"/>
      <c r="T5" s="119" t="n"/>
      <c r="U5" s="119" t="n"/>
      <c r="V5" s="119" t="n"/>
      <c r="W5" s="119" t="n"/>
      <c r="X5" s="119" t="n"/>
    </row>
    <row r="6">
      <c r="A6" s="110" t="n">
        <v>46031</v>
      </c>
      <c r="B6" s="112" t="inlineStr">
        <is>
          <t>新增申购</t>
        </is>
      </c>
      <c r="C6" s="112" t="n">
        <v>302</v>
      </c>
      <c r="D6" s="112" t="n"/>
      <c r="E6" s="120">
        <f>E5+C6-D6</f>
        <v/>
      </c>
      <c r="F6" s="119" t="n"/>
      <c r="G6" s="119" t="n"/>
      <c r="H6" s="119" t="n"/>
      <c r="I6" s="568" t="n"/>
      <c r="J6" s="569" t="n"/>
      <c r="K6" s="569" t="n"/>
      <c r="L6" s="568" t="n"/>
      <c r="M6" s="119" t="n"/>
      <c r="N6" s="119" t="n"/>
      <c r="O6" s="119" t="n"/>
      <c r="P6" s="119" t="n"/>
      <c r="Q6" s="119" t="n"/>
      <c r="R6" s="119" t="n"/>
      <c r="S6" s="119" t="n"/>
      <c r="T6" s="119" t="n"/>
      <c r="U6" s="119" t="n"/>
      <c r="V6" s="119" t="n"/>
      <c r="W6" s="119" t="n"/>
      <c r="X6" s="119" t="n"/>
    </row>
    <row r="7">
      <c r="A7" s="110" t="n"/>
      <c r="B7" s="112" t="n"/>
      <c r="C7" s="112" t="n"/>
      <c r="D7" s="112" t="n"/>
      <c r="E7" s="120" t="n">
        <v>460</v>
      </c>
      <c r="F7" s="119" t="n"/>
      <c r="G7" s="119" t="n"/>
      <c r="H7" s="119" t="n"/>
      <c r="I7" s="568" t="n"/>
      <c r="J7" s="569" t="n"/>
      <c r="K7" s="569" t="n"/>
      <c r="L7" s="568" t="n"/>
      <c r="M7" s="119" t="n"/>
      <c r="N7" s="119" t="n"/>
      <c r="O7" s="119" t="n"/>
      <c r="P7" s="119" t="n"/>
      <c r="Q7" s="119" t="n"/>
      <c r="R7" s="119" t="n"/>
      <c r="S7" s="119" t="n"/>
      <c r="T7" s="119" t="n"/>
      <c r="U7" s="119" t="n"/>
      <c r="V7" s="119" t="n"/>
      <c r="W7" s="119" t="n"/>
      <c r="X7" s="119" t="n"/>
    </row>
    <row r="8">
      <c r="A8" s="110" t="n">
        <v>46034</v>
      </c>
      <c r="B8" s="112" t="inlineStr">
        <is>
          <t>雪球申购</t>
        </is>
      </c>
      <c r="C8" s="112" t="n">
        <v>121</v>
      </c>
      <c r="D8" s="112" t="n"/>
      <c r="E8" s="120">
        <f>E7+C8-D8</f>
        <v/>
      </c>
      <c r="F8" s="119" t="n"/>
      <c r="G8" s="119" t="n"/>
      <c r="H8" s="119" t="n"/>
      <c r="I8" s="568" t="n"/>
      <c r="J8" s="569" t="n"/>
      <c r="K8" s="569" t="n"/>
      <c r="L8" s="568" t="n"/>
      <c r="M8" s="119" t="n"/>
      <c r="N8" s="119" t="n"/>
      <c r="O8" s="119" t="n"/>
      <c r="P8" s="119" t="n"/>
      <c r="Q8" s="119" t="n"/>
      <c r="R8" s="119" t="n"/>
      <c r="S8" s="119" t="n"/>
      <c r="T8" s="119" t="n"/>
      <c r="U8" s="119" t="n"/>
      <c r="V8" s="119" t="n"/>
      <c r="W8" s="119" t="n"/>
      <c r="X8" s="119" t="n"/>
    </row>
    <row r="9">
      <c r="A9" s="117" t="n"/>
      <c r="E9" s="120">
        <f>E8+C9-D9</f>
        <v/>
      </c>
      <c r="F9" s="119" t="n"/>
      <c r="G9" s="119" t="n"/>
      <c r="H9" s="119" t="n"/>
      <c r="I9" s="568" t="n"/>
      <c r="J9" s="569" t="n"/>
      <c r="K9" s="569" t="n"/>
      <c r="L9" s="568" t="n"/>
      <c r="M9" s="119" t="n"/>
      <c r="N9" s="119" t="n"/>
      <c r="O9" s="119" t="n"/>
      <c r="P9" s="119" t="n"/>
      <c r="Q9" s="119" t="n"/>
      <c r="R9" s="119" t="n"/>
      <c r="S9" s="119" t="n"/>
      <c r="T9" s="119" t="n"/>
      <c r="U9" s="119" t="n"/>
      <c r="V9" s="119" t="n"/>
      <c r="W9" s="119" t="n"/>
      <c r="X9" s="119" t="n"/>
    </row>
    <row r="10">
      <c r="A10" s="110" t="n">
        <v>46034</v>
      </c>
      <c r="B10" s="112" t="inlineStr">
        <is>
          <t>新增申购</t>
        </is>
      </c>
      <c r="C10" s="112" t="n">
        <v>300</v>
      </c>
      <c r="D10" s="112" t="n"/>
      <c r="E10" s="120">
        <f>E9+C10-D10</f>
        <v/>
      </c>
      <c r="F10" s="168" t="n"/>
      <c r="G10" s="119" t="n"/>
      <c r="H10" s="119" t="n"/>
      <c r="I10" s="568" t="n"/>
      <c r="J10" s="569" t="n"/>
      <c r="K10" s="569" t="n"/>
      <c r="L10" s="568" t="n"/>
      <c r="M10" s="119" t="n"/>
      <c r="N10" s="119" t="n"/>
      <c r="O10" s="119" t="n"/>
      <c r="P10" s="119" t="n"/>
      <c r="Q10" s="119" t="n"/>
      <c r="R10" s="119" t="n"/>
      <c r="S10" s="119" t="n"/>
      <c r="T10" s="119" t="n"/>
      <c r="U10" s="119" t="n"/>
      <c r="V10" s="119" t="n"/>
      <c r="W10" s="119" t="n"/>
      <c r="X10" s="119" t="n"/>
    </row>
    <row r="11">
      <c r="A11" s="110" t="n">
        <v>46034</v>
      </c>
      <c r="B11" s="112" t="inlineStr">
        <is>
          <t>赎回朗瑞1-5</t>
        </is>
      </c>
      <c r="C11" s="112" t="n">
        <v>1100</v>
      </c>
      <c r="D11" s="112" t="n"/>
      <c r="E11" s="120">
        <f>E10+C11-D11</f>
        <v/>
      </c>
      <c r="F11" s="168" t="inlineStr">
        <is>
          <t>1-8申请</t>
        </is>
      </c>
      <c r="G11" s="119" t="inlineStr">
        <is>
          <t>能否提前到1-8的开放日赎回？；然后周一中午到账？</t>
        </is>
      </c>
      <c r="H11" s="119" t="n"/>
      <c r="I11" s="568" t="n"/>
      <c r="J11" s="569" t="n"/>
      <c r="K11" s="569" t="n"/>
      <c r="L11" s="568" t="n"/>
      <c r="M11" s="119" t="n"/>
      <c r="N11" s="119" t="n"/>
      <c r="O11" s="119" t="n"/>
      <c r="P11" s="119" t="n"/>
      <c r="Q11" s="119" t="n"/>
      <c r="R11" s="119" t="n"/>
      <c r="S11" s="119" t="n"/>
      <c r="T11" s="119" t="n"/>
      <c r="U11" s="119" t="n"/>
      <c r="V11" s="119" t="n"/>
      <c r="W11" s="119" t="n"/>
      <c r="X11" s="119" t="n"/>
    </row>
    <row r="12">
      <c r="A12" s="110" t="n">
        <v>46034</v>
      </c>
      <c r="B12" s="112" t="inlineStr">
        <is>
          <t>打新</t>
        </is>
      </c>
      <c r="C12" s="112" t="n"/>
      <c r="D12" s="112" t="n">
        <v>1216.5</v>
      </c>
      <c r="E12" s="120">
        <f>E11+C12-D12</f>
        <v/>
      </c>
      <c r="F12" s="168" t="n"/>
      <c r="G12" s="119" t="n"/>
      <c r="H12" s="119" t="n"/>
      <c r="I12" s="568" t="n"/>
      <c r="J12" s="569" t="n"/>
      <c r="K12" s="569" t="n"/>
      <c r="L12" s="568" t="n"/>
      <c r="M12" s="119" t="n"/>
      <c r="N12" s="119" t="n"/>
      <c r="O12" s="119" t="n"/>
      <c r="P12" s="119" t="n"/>
      <c r="Q12" s="119" t="n"/>
      <c r="R12" s="119" t="n"/>
      <c r="S12" s="119" t="n"/>
      <c r="T12" s="119" t="n"/>
      <c r="U12" s="119" t="n"/>
      <c r="V12" s="119" t="n"/>
      <c r="W12" s="119" t="n"/>
      <c r="X12" s="119" t="n"/>
    </row>
    <row r="13">
      <c r="A13" s="110" t="n">
        <v>46035</v>
      </c>
      <c r="B13" s="112" t="inlineStr">
        <is>
          <t>雪球申购</t>
        </is>
      </c>
      <c r="C13" s="112" t="n">
        <v>128.4</v>
      </c>
      <c r="D13" s="112" t="n"/>
      <c r="E13" s="120">
        <f>E12+C13-D13</f>
        <v/>
      </c>
      <c r="F13" s="168" t="n"/>
      <c r="G13" s="119" t="n"/>
      <c r="H13" s="119" t="n"/>
      <c r="I13" s="568" t="n"/>
      <c r="J13" s="569" t="n"/>
      <c r="K13" s="569" t="n"/>
      <c r="L13" s="568" t="n"/>
      <c r="M13" s="119" t="n"/>
      <c r="N13" s="119" t="n"/>
      <c r="O13" s="119" t="n"/>
      <c r="P13" s="119" t="n"/>
      <c r="Q13" s="119" t="n"/>
      <c r="R13" s="119" t="n"/>
      <c r="S13" s="119" t="n"/>
      <c r="T13" s="119" t="n"/>
      <c r="U13" s="119" t="n"/>
      <c r="V13" s="119" t="n"/>
      <c r="W13" s="119" t="n"/>
      <c r="X13" s="119" t="n"/>
    </row>
    <row r="14">
      <c r="A14" s="110" t="n">
        <v>46035</v>
      </c>
      <c r="B14" s="112" t="inlineStr">
        <is>
          <t>归还回购</t>
        </is>
      </c>
      <c r="C14" s="112" t="n"/>
      <c r="D14" s="112" t="n">
        <v>660.5</v>
      </c>
      <c r="E14" s="120">
        <f>E13+C14-D14</f>
        <v/>
      </c>
      <c r="F14" s="168" t="n"/>
      <c r="G14" s="119" t="n"/>
      <c r="H14" s="119" t="n"/>
      <c r="I14" s="568" t="n"/>
      <c r="J14" s="569" t="n"/>
      <c r="K14" s="569" t="n"/>
      <c r="L14" s="568" t="n"/>
      <c r="M14" s="119" t="n"/>
      <c r="N14" s="119" t="n"/>
      <c r="O14" s="119" t="n"/>
      <c r="P14" s="119" t="n"/>
      <c r="Q14" s="119" t="n"/>
      <c r="R14" s="119" t="n"/>
      <c r="S14" s="119" t="n"/>
      <c r="T14" s="119" t="n"/>
      <c r="U14" s="119" t="n"/>
      <c r="V14" s="119" t="n"/>
      <c r="W14" s="119" t="n"/>
      <c r="X14" s="119" t="n"/>
    </row>
    <row r="15">
      <c r="A15" s="110" t="n">
        <v>46036</v>
      </c>
      <c r="B15" s="112" t="inlineStr">
        <is>
          <t>打新</t>
        </is>
      </c>
      <c r="C15" s="112" t="n">
        <v>1216</v>
      </c>
      <c r="D15" s="112" t="n"/>
      <c r="E15" s="120">
        <f>E14+C15-D15</f>
        <v/>
      </c>
      <c r="F15" s="119" t="inlineStr">
        <is>
          <t>涉及回来多少钱</t>
        </is>
      </c>
      <c r="G15" s="119" t="n"/>
      <c r="H15" s="119" t="n"/>
      <c r="I15" s="568" t="n"/>
      <c r="J15" s="569" t="n"/>
      <c r="K15" s="569" t="n"/>
      <c r="L15" s="568" t="n"/>
      <c r="M15" s="119" t="n"/>
      <c r="N15" s="119" t="n"/>
      <c r="O15" s="119" t="n"/>
      <c r="P15" s="119" t="n"/>
      <c r="Q15" s="119" t="n"/>
      <c r="R15" s="119" t="n"/>
      <c r="S15" s="119" t="n"/>
      <c r="T15" s="119" t="n"/>
      <c r="U15" s="119" t="n"/>
      <c r="V15" s="119" t="n"/>
      <c r="W15" s="119" t="n"/>
      <c r="X15" s="119" t="n"/>
    </row>
    <row r="16">
      <c r="A16" s="110" t="n">
        <v>46036</v>
      </c>
      <c r="B16" s="112" t="inlineStr">
        <is>
          <t>熠然5A3</t>
        </is>
      </c>
      <c r="C16" s="112" t="n"/>
      <c r="D16" s="112" t="n">
        <v>501</v>
      </c>
      <c r="E16" s="120">
        <f>E15+C16-D16</f>
        <v/>
      </c>
      <c r="F16" s="0" t="inlineStr">
        <is>
          <t>1、熠然5A3[263739.SH]，500w，净价100元，1月14日，国泰海通 樊文娟 to 元康盛景20号 刘靖涛</t>
        </is>
      </c>
      <c r="G16" s="119" t="n"/>
      <c r="H16" s="119" t="n"/>
      <c r="I16" s="568" t="n"/>
      <c r="J16" s="569" t="n"/>
      <c r="K16" s="569" t="n"/>
      <c r="L16" s="568" t="n"/>
      <c r="M16" s="119" t="n"/>
      <c r="N16" s="119" t="n"/>
      <c r="O16" s="119" t="n"/>
      <c r="P16" s="119" t="n"/>
      <c r="Q16" s="119" t="n"/>
      <c r="R16" s="119" t="n"/>
      <c r="S16" s="119" t="n"/>
      <c r="T16" s="119" t="n"/>
      <c r="U16" s="119" t="n"/>
      <c r="V16" s="119" t="n"/>
      <c r="W16" s="119" t="n"/>
      <c r="X16" s="119" t="n"/>
    </row>
    <row r="17">
      <c r="A17" s="110" t="n">
        <v>46037</v>
      </c>
      <c r="B17" s="112" t="inlineStr">
        <is>
          <t>云意电气</t>
        </is>
      </c>
      <c r="C17" s="112" t="n">
        <v>5000</v>
      </c>
      <c r="D17" s="112" t="n"/>
      <c r="E17" s="120">
        <f>E16+C17-D17</f>
        <v/>
      </c>
      <c r="G17" s="119" t="n"/>
      <c r="H17" s="119" t="n"/>
      <c r="I17" s="568" t="n"/>
      <c r="J17" s="569" t="n"/>
      <c r="K17" s="569" t="n"/>
      <c r="L17" s="568" t="n"/>
      <c r="M17" s="119" t="n"/>
      <c r="N17" s="119" t="n"/>
      <c r="O17" s="119" t="n"/>
      <c r="P17" s="119" t="n"/>
      <c r="Q17" s="119" t="n"/>
      <c r="R17" s="119" t="n"/>
      <c r="S17" s="119" t="n"/>
      <c r="T17" s="119" t="n"/>
      <c r="U17" s="119" t="n"/>
      <c r="V17" s="119" t="n"/>
      <c r="W17" s="119" t="n"/>
      <c r="X17" s="119" t="n"/>
    </row>
    <row r="18">
      <c r="A18" s="110" t="n">
        <v>46037</v>
      </c>
      <c r="B18" s="112" t="inlineStr">
        <is>
          <t>新增申购</t>
        </is>
      </c>
      <c r="C18" s="112" t="n">
        <v>1000</v>
      </c>
      <c r="D18" s="112" t="n"/>
      <c r="E18" s="120">
        <f>E17+C18-D18</f>
        <v/>
      </c>
      <c r="G18" s="119" t="n"/>
      <c r="H18" s="119" t="n"/>
      <c r="I18" s="568" t="n"/>
      <c r="J18" s="569" t="n"/>
      <c r="K18" s="569" t="n"/>
      <c r="L18" s="568" t="n"/>
      <c r="M18" s="119" t="n"/>
      <c r="N18" s="119" t="n"/>
      <c r="O18" s="119" t="n"/>
      <c r="P18" s="119" t="n"/>
      <c r="Q18" s="119" t="n"/>
      <c r="R18" s="119" t="n"/>
      <c r="S18" s="119" t="n"/>
      <c r="T18" s="119" t="n"/>
      <c r="U18" s="119" t="n"/>
      <c r="V18" s="119" t="n"/>
      <c r="W18" s="119" t="n"/>
      <c r="X18" s="119" t="n"/>
    </row>
    <row r="19">
      <c r="A19" s="117" t="n"/>
      <c r="E19" s="120">
        <f>E18+C19-D19</f>
        <v/>
      </c>
      <c r="G19" s="119" t="n"/>
      <c r="H19" s="119" t="n"/>
      <c r="I19" s="568" t="n"/>
      <c r="J19" s="569" t="n"/>
      <c r="K19" s="569" t="n"/>
      <c r="L19" s="568" t="n"/>
      <c r="M19" s="119" t="n"/>
      <c r="N19" s="119" t="n"/>
      <c r="O19" s="119" t="n"/>
      <c r="P19" s="119" t="n"/>
      <c r="Q19" s="119" t="n"/>
      <c r="R19" s="119" t="n"/>
      <c r="S19" s="119" t="n"/>
      <c r="T19" s="119" t="n"/>
      <c r="U19" s="119" t="n"/>
      <c r="V19" s="119" t="n"/>
      <c r="W19" s="119" t="n"/>
      <c r="X19" s="119" t="n"/>
    </row>
    <row r="20">
      <c r="A20" s="110" t="n">
        <v>46037</v>
      </c>
      <c r="B20" s="112" t="inlineStr">
        <is>
          <t>归还熠安02A3回购</t>
        </is>
      </c>
      <c r="C20" s="112" t="n"/>
      <c r="D20" s="112" t="n">
        <v>1247</v>
      </c>
      <c r="E20" s="120">
        <f>E19+C20-D20</f>
        <v/>
      </c>
      <c r="F20" s="119" t="n"/>
      <c r="G20" s="119" t="n"/>
      <c r="H20" s="119" t="n"/>
      <c r="I20" s="568" t="n"/>
      <c r="J20" s="569" t="n"/>
      <c r="K20" s="569" t="inlineStr">
        <is>
          <t> </t>
        </is>
      </c>
      <c r="L20" s="568" t="n"/>
      <c r="M20" s="119" t="n"/>
      <c r="N20" s="119" t="n"/>
      <c r="O20" s="119" t="n"/>
      <c r="P20" s="119" t="n"/>
      <c r="Q20" s="119" t="n"/>
      <c r="R20" s="119" t="n"/>
      <c r="S20" s="119" t="n"/>
      <c r="T20" s="119" t="n"/>
      <c r="U20" s="119" t="n"/>
      <c r="V20" s="119" t="n"/>
      <c r="W20" s="119" t="n"/>
      <c r="X20" s="119" t="n"/>
    </row>
    <row r="21">
      <c r="A21" s="110" t="n">
        <v>46037</v>
      </c>
      <c r="B21" s="112" t="inlineStr">
        <is>
          <t>回款</t>
        </is>
      </c>
      <c r="C21" s="112" t="n">
        <v>170</v>
      </c>
      <c r="D21" s="112" t="n"/>
      <c r="E21" s="120">
        <f>E20+C21-D21</f>
        <v/>
      </c>
      <c r="F21" s="119" t="n"/>
      <c r="G21" s="119" t="n"/>
      <c r="H21" s="119" t="n"/>
      <c r="I21" s="568" t="n"/>
      <c r="J21" s="569" t="n"/>
      <c r="K21" s="569" t="n"/>
      <c r="L21" s="568" t="n"/>
      <c r="M21" s="119" t="n"/>
      <c r="N21" s="119" t="n"/>
      <c r="O21" s="119" t="n"/>
      <c r="P21" s="119" t="n"/>
      <c r="Q21" s="119" t="n"/>
      <c r="R21" s="119" t="n"/>
      <c r="S21" s="119" t="n"/>
      <c r="T21" s="119" t="n"/>
      <c r="U21" s="119" t="n"/>
      <c r="V21" s="119" t="n"/>
      <c r="W21" s="119" t="n"/>
      <c r="X21" s="119" t="n"/>
    </row>
    <row r="22">
      <c r="A22" s="117" t="n"/>
      <c r="E22" s="120">
        <f>E21+C22-D22</f>
        <v/>
      </c>
      <c r="G22" s="1" t="n"/>
      <c r="H22" s="119" t="n"/>
      <c r="I22" s="568" t="n"/>
      <c r="J22" s="569" t="n"/>
      <c r="K22" s="569" t="n"/>
      <c r="L22" s="568" t="n"/>
      <c r="M22" s="119" t="n"/>
      <c r="N22" s="119" t="n"/>
      <c r="O22" s="119" t="n"/>
      <c r="P22" s="119" t="n"/>
      <c r="Q22" s="119" t="n"/>
      <c r="R22" s="119" t="n"/>
      <c r="S22" s="119" t="n"/>
      <c r="T22" s="119" t="n"/>
      <c r="U22" s="119" t="n"/>
      <c r="V22" s="119" t="n"/>
      <c r="W22" s="119" t="n"/>
      <c r="X22" s="119" t="n"/>
    </row>
    <row r="23">
      <c r="A23" s="110" t="n">
        <v>46038</v>
      </c>
      <c r="B23" s="112" t="inlineStr">
        <is>
          <t>铁建051C</t>
        </is>
      </c>
      <c r="C23" s="112" t="n"/>
      <c r="D23" s="112" t="n">
        <v>738</v>
      </c>
      <c r="E23" s="120">
        <f>E22+C23-D23</f>
        <v/>
      </c>
      <c r="F23" s="0" t="inlineStr">
        <is>
          <t>铁建051C[199768.SH]，665w，111.075,1月16日，方田启航9号 to 元康盛景20号 刘靖涛</t>
        </is>
      </c>
      <c r="H23" s="119" t="n"/>
      <c r="I23" s="568" t="n"/>
      <c r="J23" s="569" t="n"/>
      <c r="K23" s="569" t="n"/>
      <c r="L23" s="568" t="n"/>
      <c r="M23" s="119" t="n"/>
      <c r="N23" s="119" t="n"/>
      <c r="O23" s="119" t="n"/>
      <c r="P23" s="119" t="n"/>
      <c r="Q23" s="119" t="n"/>
      <c r="R23" s="119" t="n"/>
      <c r="S23" s="119" t="n"/>
      <c r="T23" s="119" t="n"/>
      <c r="U23" s="119" t="n"/>
      <c r="V23" s="119" t="n"/>
      <c r="W23" s="119" t="n"/>
      <c r="X23" s="119" t="n"/>
    </row>
    <row r="24">
      <c r="A24" s="110" t="n"/>
      <c r="B24" s="112" t="n"/>
      <c r="C24" s="112" t="n"/>
      <c r="D24" s="112" t="n"/>
      <c r="E24" s="120" t="n">
        <v>5134</v>
      </c>
      <c r="F24" s="119" t="n"/>
      <c r="G24" s="119" t="n"/>
      <c r="H24" s="119" t="inlineStr">
        <is>
          <t> </t>
        </is>
      </c>
      <c r="I24" s="568" t="n"/>
      <c r="J24" s="569" t="n"/>
      <c r="K24" s="569" t="n"/>
      <c r="L24" s="568" t="n"/>
      <c r="M24" s="119" t="n"/>
      <c r="N24" s="119" t="n"/>
      <c r="O24" s="119" t="n"/>
      <c r="P24" s="119" t="n"/>
      <c r="Q24" s="119" t="n"/>
      <c r="R24" s="119" t="n"/>
      <c r="S24" s="119" t="n"/>
      <c r="T24" s="119" t="n"/>
      <c r="U24" s="119" t="n"/>
      <c r="V24" s="119" t="n"/>
      <c r="W24" s="119" t="n"/>
      <c r="X24" s="119" t="n"/>
    </row>
    <row r="25">
      <c r="A25" s="110" t="n">
        <v>46041</v>
      </c>
      <c r="B25" s="112" t="inlineStr">
        <is>
          <t>支付增值税</t>
        </is>
      </c>
      <c r="C25" s="112" t="n"/>
      <c r="D25" s="112" t="n">
        <v>19</v>
      </c>
      <c r="E25" s="120">
        <f>E24+C25-D25</f>
        <v/>
      </c>
      <c r="F25" s="119" t="n"/>
      <c r="G25" s="119" t="n"/>
      <c r="H25" s="119" t="n"/>
      <c r="I25" s="568" t="n"/>
      <c r="J25" s="569" t="n"/>
      <c r="K25" s="569" t="n"/>
      <c r="L25" s="568" t="n"/>
      <c r="M25" s="119" t="n"/>
      <c r="N25" s="119" t="n"/>
      <c r="O25" s="119" t="n"/>
      <c r="P25" s="119" t="n"/>
      <c r="Q25" s="119" t="n"/>
      <c r="R25" s="119" t="n"/>
      <c r="S25" s="119" t="n"/>
      <c r="T25" s="119" t="n"/>
      <c r="U25" s="119" t="n"/>
      <c r="V25" s="119" t="n"/>
      <c r="W25" s="119" t="n"/>
      <c r="X25" s="119" t="n"/>
    </row>
    <row r="26">
      <c r="A26" s="110" t="n">
        <v>46041</v>
      </c>
      <c r="B26" s="112" t="inlineStr">
        <is>
          <t>荟享244C</t>
        </is>
      </c>
      <c r="C26" s="112" t="n"/>
      <c r="D26" s="112" t="n">
        <v>355</v>
      </c>
      <c r="E26" s="120">
        <f>E25+C26-D26</f>
        <v/>
      </c>
      <c r="F26" s="119" t="inlineStr">
        <is>
          <t>1/19+0，荟享244C，146608.SZ，353w，净价100.159元，扬讯 出 元康盛景20号 刘靖涛</t>
        </is>
      </c>
      <c r="G26" s="119" t="n"/>
      <c r="H26" s="119" t="n"/>
      <c r="I26" s="568" t="n"/>
      <c r="J26" s="569" t="n"/>
      <c r="K26" s="569" t="n"/>
      <c r="L26" s="568" t="n"/>
      <c r="M26" s="119" t="n"/>
      <c r="N26" s="119" t="n"/>
      <c r="O26" s="119" t="n"/>
      <c r="P26" s="119" t="n"/>
      <c r="Q26" s="119" t="n"/>
      <c r="R26" s="119" t="n"/>
      <c r="S26" s="119" t="n"/>
      <c r="T26" s="119" t="n"/>
      <c r="U26" s="119" t="n"/>
      <c r="V26" s="119" t="n"/>
      <c r="W26" s="119" t="n"/>
      <c r="X26" s="119" t="n"/>
    </row>
    <row r="27">
      <c r="A27" s="110" t="n">
        <v>46041</v>
      </c>
      <c r="B27" s="112" t="inlineStr">
        <is>
          <t>朗瑞1-5</t>
        </is>
      </c>
      <c r="C27" s="112" t="n"/>
      <c r="D27" s="112" t="n">
        <v>2600</v>
      </c>
      <c r="E27" s="120">
        <f>E26+C27-D27</f>
        <v/>
      </c>
      <c r="F27" s="119" t="n"/>
      <c r="G27" s="119" t="n"/>
      <c r="H27" s="119" t="n"/>
      <c r="I27" s="568" t="n"/>
      <c r="J27" s="569" t="n"/>
      <c r="K27" s="569" t="n"/>
      <c r="L27" s="568" t="n"/>
      <c r="M27" s="119" t="n"/>
      <c r="N27" s="119" t="n"/>
      <c r="O27" s="119" t="n"/>
      <c r="P27" s="119" t="n"/>
      <c r="Q27" s="119" t="n"/>
      <c r="R27" s="119" t="n"/>
      <c r="S27" s="119" t="n"/>
      <c r="T27" s="119" t="n"/>
      <c r="U27" s="119" t="n"/>
      <c r="V27" s="119" t="n"/>
      <c r="W27" s="119" t="n"/>
      <c r="X27" s="119" t="n"/>
    </row>
    <row r="28">
      <c r="A28" s="110" t="n">
        <v>46041</v>
      </c>
      <c r="B28" s="112" t="inlineStr">
        <is>
          <t>雪球申购</t>
        </is>
      </c>
      <c r="C28" s="112" t="n">
        <v>174</v>
      </c>
      <c r="D28" s="112" t="n"/>
      <c r="E28" s="120">
        <f>E27+C28-D28</f>
        <v/>
      </c>
      <c r="F28" s="119" t="n"/>
      <c r="G28" s="119" t="n"/>
      <c r="H28" s="119" t="n"/>
      <c r="I28" s="568" t="n"/>
      <c r="J28" s="569" t="n"/>
      <c r="K28" s="569" t="n"/>
      <c r="L28" s="568" t="n"/>
      <c r="M28" s="119" t="n"/>
      <c r="N28" s="119" t="n"/>
      <c r="O28" s="119" t="n"/>
      <c r="P28" s="119" t="n"/>
      <c r="Q28" s="119" t="n"/>
      <c r="R28" s="119" t="n"/>
      <c r="S28" s="119" t="n"/>
      <c r="T28" s="119" t="n"/>
      <c r="U28" s="119" t="n"/>
      <c r="V28" s="119" t="n"/>
      <c r="W28" s="119" t="n"/>
      <c r="X28" s="119" t="n"/>
    </row>
    <row r="29">
      <c r="A29" s="110" t="n">
        <v>46041</v>
      </c>
      <c r="B29" s="112" t="inlineStr">
        <is>
          <t>熠安02A3</t>
        </is>
      </c>
      <c r="C29" s="112" t="n">
        <v>1112</v>
      </c>
      <c r="D29" s="112" t="n"/>
      <c r="E29" s="120">
        <f>E28+C29-D29</f>
        <v/>
      </c>
      <c r="F29" s="570" t="inlineStr">
        <is>
          <t>熠安02A3,144651.SZ,1172w,净价94.89, 1月19日，元康20号 to 扬讯</t>
        </is>
      </c>
      <c r="G29" s="119" t="n"/>
      <c r="H29" s="119" t="n"/>
      <c r="I29" s="568" t="n"/>
      <c r="J29" s="569" t="n"/>
      <c r="K29" s="569" t="n"/>
      <c r="L29" s="569" t="n"/>
      <c r="M29" s="569" t="n"/>
      <c r="N29" s="119" t="n"/>
      <c r="O29" s="119" t="n"/>
      <c r="P29" s="119" t="n"/>
      <c r="Q29" s="119" t="n"/>
      <c r="R29" s="119" t="n"/>
      <c r="S29" s="119" t="n"/>
      <c r="T29" s="119" t="n"/>
      <c r="U29" s="119" t="n"/>
      <c r="V29" s="119" t="n"/>
      <c r="W29" s="119" t="n"/>
      <c r="X29" s="119" t="n"/>
    </row>
    <row r="30">
      <c r="A30" s="110" t="n"/>
      <c r="B30" s="112" t="n"/>
      <c r="C30" s="112" t="n"/>
      <c r="D30" s="112" t="n"/>
      <c r="E30" s="120" t="n">
        <v>3441</v>
      </c>
      <c r="F30" s="565" t="n"/>
      <c r="G30" s="119" t="n"/>
      <c r="H30" s="119" t="n"/>
      <c r="I30" s="568" t="n"/>
      <c r="J30" s="569" t="n"/>
      <c r="K30" s="569" t="n"/>
      <c r="L30" s="569" t="n"/>
      <c r="M30" s="569" t="n"/>
      <c r="N30" s="119" t="n"/>
      <c r="O30" s="119" t="n"/>
      <c r="P30" s="119" t="n"/>
      <c r="Q30" s="119" t="n"/>
      <c r="R30" s="119" t="n"/>
      <c r="S30" s="119" t="n"/>
      <c r="T30" s="119" t="n"/>
      <c r="U30" s="119" t="n"/>
      <c r="V30" s="119" t="n"/>
      <c r="W30" s="119" t="n"/>
      <c r="X30" s="119" t="n"/>
    </row>
    <row r="31">
      <c r="A31" s="110" t="n">
        <v>46043</v>
      </c>
      <c r="B31" s="112" t="inlineStr">
        <is>
          <t>雪球申购</t>
        </is>
      </c>
      <c r="C31" s="112" t="n">
        <v>18</v>
      </c>
      <c r="D31" s="112" t="n"/>
      <c r="E31" s="120">
        <f>E30+C31-D31</f>
        <v/>
      </c>
      <c r="F31" s="119" t="n"/>
      <c r="G31" s="119" t="n"/>
      <c r="H31" s="119" t="n"/>
      <c r="I31" s="568" t="n"/>
      <c r="J31" s="569" t="n"/>
      <c r="K31" s="569" t="n"/>
      <c r="L31" s="569" t="n"/>
      <c r="M31" s="569" t="n"/>
      <c r="N31" s="119" t="n"/>
      <c r="O31" s="119" t="n"/>
      <c r="P31" s="119" t="n"/>
      <c r="Q31" s="119" t="n"/>
      <c r="R31" s="119" t="n"/>
      <c r="S31" s="119" t="n"/>
      <c r="T31" s="119" t="n"/>
      <c r="U31" s="119" t="n"/>
      <c r="V31" s="119" t="n"/>
      <c r="W31" s="119" t="n"/>
      <c r="X31" s="119" t="n"/>
    </row>
    <row r="32">
      <c r="A32" s="110" t="n">
        <v>46043</v>
      </c>
      <c r="B32" s="112" t="inlineStr">
        <is>
          <t>打新</t>
        </is>
      </c>
      <c r="C32" s="112" t="n"/>
      <c r="D32" s="112" t="n">
        <v>1550</v>
      </c>
      <c r="E32" s="120">
        <f>E31+C32-D32</f>
        <v/>
      </c>
      <c r="F32" s="119" t="n"/>
      <c r="G32" s="119" t="n"/>
      <c r="H32" s="119" t="n"/>
      <c r="I32" s="568" t="n"/>
      <c r="J32" s="569" t="n"/>
      <c r="K32" s="569" t="n"/>
      <c r="L32" s="569" t="n"/>
      <c r="M32" s="569" t="n"/>
      <c r="N32" s="119" t="n"/>
      <c r="O32" s="119" t="n"/>
      <c r="P32" s="119" t="n"/>
      <c r="Q32" s="119" t="n"/>
      <c r="R32" s="119" t="n"/>
      <c r="S32" s="119" t="n"/>
      <c r="T32" s="119" t="n"/>
      <c r="U32" s="119" t="n"/>
      <c r="V32" s="119" t="n"/>
      <c r="W32" s="119" t="n"/>
      <c r="X32" s="119" t="n"/>
    </row>
    <row r="33">
      <c r="A33" s="110" t="n"/>
      <c r="B33" s="112" t="n"/>
      <c r="D33" s="112" t="n"/>
      <c r="E33" s="120">
        <f>E32+C33-D33</f>
        <v/>
      </c>
      <c r="F33" s="119" t="n"/>
      <c r="G33" s="119" t="n"/>
      <c r="H33" s="119" t="n"/>
      <c r="I33" s="568" t="n"/>
      <c r="J33" s="569" t="n"/>
      <c r="K33" s="569" t="n"/>
      <c r="L33" s="568" t="n"/>
      <c r="M33" s="119" t="n"/>
      <c r="N33" s="119" t="n"/>
      <c r="O33" s="119" t="n"/>
      <c r="P33" s="119" t="n"/>
      <c r="Q33" s="119" t="n"/>
      <c r="R33" s="119" t="n"/>
      <c r="S33" s="119" t="n"/>
      <c r="T33" s="119" t="n"/>
      <c r="U33" s="119" t="n"/>
      <c r="V33" s="119" t="n"/>
      <c r="W33" s="119" t="n"/>
      <c r="X33" s="119" t="n"/>
    </row>
    <row r="34">
      <c r="A34" s="110" t="n">
        <v>46044</v>
      </c>
      <c r="B34" s="112">
        <f>B5</f>
        <v/>
      </c>
      <c r="C34" s="112">
        <f>D5</f>
        <v/>
      </c>
      <c r="D34" s="112" t="n"/>
      <c r="E34" s="120">
        <f>E33+C34-D34</f>
        <v/>
      </c>
      <c r="F34" s="221" t="inlineStr">
        <is>
          <t>265418.SH，诚瑞1A2，1000W，净价100.15  1月22日，元康盛景20号 刘靖涛 to 新华日报基金：李旭彤2500116861</t>
        </is>
      </c>
      <c r="H34" s="119" t="n"/>
      <c r="I34" s="568" t="n"/>
      <c r="J34" s="569" t="n"/>
      <c r="K34" s="569" t="n"/>
      <c r="L34" s="568" t="n"/>
      <c r="M34" s="119" t="n"/>
      <c r="N34" s="119" t="n"/>
      <c r="O34" s="119" t="n"/>
      <c r="P34" s="119" t="n"/>
      <c r="Q34" s="119" t="n"/>
      <c r="R34" s="119" t="n"/>
      <c r="S34" s="119" t="n"/>
      <c r="T34" s="119" t="n"/>
      <c r="U34" s="119" t="n"/>
      <c r="V34" s="119" t="n"/>
      <c r="W34" s="119" t="n"/>
      <c r="X34" s="119" t="n"/>
    </row>
    <row r="35">
      <c r="A35" s="110" t="n">
        <v>46045</v>
      </c>
      <c r="B35" s="112" t="inlineStr">
        <is>
          <t>新增申购</t>
        </is>
      </c>
      <c r="C35" s="112" t="n">
        <v>105</v>
      </c>
      <c r="D35" s="112" t="n"/>
      <c r="E35" s="120">
        <f>E34+C35-D35</f>
        <v/>
      </c>
      <c r="F35" s="119" t="n"/>
      <c r="G35" s="119" t="n"/>
      <c r="H35" s="119" t="n"/>
      <c r="I35" s="568" t="n"/>
      <c r="J35" s="569" t="n"/>
      <c r="K35" s="569" t="n"/>
      <c r="L35" s="568" t="n"/>
      <c r="M35" s="119" t="n"/>
      <c r="N35" s="119" t="n"/>
      <c r="O35" s="119" t="n"/>
      <c r="P35" s="119" t="n"/>
      <c r="Q35" s="119" t="n"/>
      <c r="R35" s="119" t="n"/>
      <c r="S35" s="119" t="n"/>
      <c r="T35" s="119" t="n"/>
      <c r="U35" s="119" t="n"/>
      <c r="V35" s="119" t="n"/>
      <c r="W35" s="119" t="n"/>
      <c r="X35" s="119" t="n"/>
    </row>
    <row r="36">
      <c r="A36" s="110" t="n">
        <v>46045</v>
      </c>
      <c r="B36" s="112" t="inlineStr">
        <is>
          <t>打新回款</t>
        </is>
      </c>
      <c r="C36" s="112" t="n">
        <v>1550</v>
      </c>
      <c r="D36" s="112" t="n"/>
      <c r="E36" s="120">
        <f>E35+C36-D36</f>
        <v/>
      </c>
      <c r="F36" s="119" t="n"/>
      <c r="G36" s="119" t="n"/>
      <c r="H36" s="119" t="n"/>
      <c r="I36" s="568" t="n"/>
      <c r="J36" s="569" t="n"/>
      <c r="K36" s="569" t="n"/>
      <c r="L36" s="568" t="n"/>
      <c r="M36" s="119" t="n"/>
      <c r="N36" s="119" t="n"/>
      <c r="O36" s="119" t="n"/>
      <c r="P36" s="119" t="n"/>
      <c r="Q36" s="119" t="n"/>
      <c r="R36" s="119" t="n"/>
      <c r="S36" s="119" t="n"/>
      <c r="T36" s="119" t="n"/>
      <c r="U36" s="119" t="n"/>
      <c r="V36" s="119" t="n"/>
      <c r="W36" s="119" t="n"/>
      <c r="X36" s="119" t="n"/>
    </row>
    <row r="37">
      <c r="A37" s="110" t="n">
        <v>46048</v>
      </c>
      <c r="B37" s="112" t="inlineStr">
        <is>
          <t>荟享244C</t>
        </is>
      </c>
      <c r="C37" s="112" t="n">
        <v>353</v>
      </c>
      <c r="D37" s="112" t="n"/>
      <c r="E37" s="120">
        <f>E36+C37-D37</f>
        <v/>
      </c>
      <c r="F37" s="119" t="inlineStr">
        <is>
          <t>1/22+0，荟享244C，146608.SZ，353w，净价100.159元，元康盛景20号 刘靖涛 出 粤开证券（许逸潇）</t>
        </is>
      </c>
      <c r="G37" s="119" t="n"/>
      <c r="H37" s="119" t="n"/>
      <c r="I37" s="568" t="n"/>
      <c r="J37" s="569" t="n"/>
      <c r="K37" s="569" t="n"/>
      <c r="L37" s="568" t="n"/>
      <c r="M37" s="119" t="n"/>
      <c r="N37" s="119" t="n"/>
      <c r="O37" s="119" t="n"/>
      <c r="P37" s="119" t="n"/>
      <c r="Q37" s="119" t="n"/>
      <c r="R37" s="119" t="n"/>
      <c r="S37" s="119" t="n"/>
      <c r="T37" s="119" t="n"/>
      <c r="U37" s="119" t="n"/>
      <c r="V37" s="119" t="n"/>
      <c r="W37" s="119" t="n"/>
      <c r="X37" s="119" t="n"/>
    </row>
    <row r="38">
      <c r="A38" s="110" t="n">
        <v>46048</v>
      </c>
      <c r="B38" s="112" t="inlineStr">
        <is>
          <t>雪球申购</t>
        </is>
      </c>
      <c r="C38" s="112" t="n">
        <v>180</v>
      </c>
      <c r="D38" s="112" t="n"/>
      <c r="E38" s="120">
        <f>E37+C38-D38</f>
        <v/>
      </c>
      <c r="F38" s="119" t="n"/>
      <c r="G38" s="119" t="n"/>
      <c r="H38" s="119" t="n"/>
      <c r="I38" s="568" t="n"/>
      <c r="J38" s="569" t="n"/>
      <c r="K38" s="569" t="n"/>
      <c r="L38" s="568" t="n"/>
      <c r="M38" s="119" t="n"/>
      <c r="N38" s="119" t="n"/>
      <c r="O38" s="119" t="n"/>
      <c r="P38" s="119" t="n"/>
      <c r="Q38" s="119" t="n"/>
      <c r="R38" s="119" t="n"/>
      <c r="S38" s="119" t="n"/>
      <c r="T38" s="119" t="n"/>
      <c r="U38" s="119" t="n"/>
      <c r="V38" s="119" t="n"/>
      <c r="W38" s="119" t="n"/>
      <c r="X38" s="119" t="n"/>
    </row>
    <row r="39">
      <c r="A39" s="110" t="n"/>
      <c r="B39" s="112" t="n"/>
      <c r="C39" s="112" t="n"/>
      <c r="D39" s="112" t="n"/>
      <c r="E39" s="120">
        <f>E38+C39-D39</f>
        <v/>
      </c>
      <c r="F39" s="119" t="n"/>
      <c r="G39" s="119" t="n"/>
      <c r="H39" s="119" t="n"/>
      <c r="I39" s="568" t="n"/>
      <c r="J39" s="569" t="n"/>
      <c r="K39" s="569" t="n"/>
      <c r="L39" s="568" t="n"/>
      <c r="M39" s="119" t="n"/>
      <c r="N39" s="119" t="n"/>
      <c r="O39" s="119" t="n"/>
      <c r="P39" s="119" t="n"/>
      <c r="Q39" s="119" t="n"/>
      <c r="R39" s="119" t="n"/>
      <c r="S39" s="119" t="n"/>
      <c r="T39" s="119" t="n"/>
      <c r="U39" s="119" t="n"/>
      <c r="V39" s="119" t="n"/>
      <c r="W39" s="119" t="n"/>
      <c r="X39" s="119" t="n"/>
    </row>
    <row r="40">
      <c r="A40" s="110" t="n">
        <v>46049</v>
      </c>
      <c r="B40" s="112" t="inlineStr">
        <is>
          <t>新增申购</t>
        </is>
      </c>
      <c r="C40" s="112" t="n">
        <v>100</v>
      </c>
      <c r="D40" s="112" t="n"/>
      <c r="E40" s="120" t="n">
        <v>5207</v>
      </c>
      <c r="F40" s="119" t="n"/>
      <c r="G40" s="119" t="n"/>
      <c r="H40" s="119" t="n"/>
      <c r="I40" s="568" t="n"/>
      <c r="J40" s="569" t="n"/>
      <c r="K40" s="569" t="n"/>
      <c r="L40" s="568" t="n"/>
      <c r="M40" s="119" t="n"/>
      <c r="N40" s="119" t="n"/>
      <c r="O40" s="119" t="n"/>
      <c r="P40" s="119" t="n"/>
      <c r="Q40" s="119" t="n"/>
      <c r="R40" s="119" t="n"/>
      <c r="S40" s="119" t="n"/>
      <c r="T40" s="119" t="n"/>
      <c r="U40" s="119" t="n"/>
      <c r="V40" s="119" t="n"/>
      <c r="W40" s="119" t="n"/>
      <c r="X40" s="119" t="n"/>
    </row>
    <row r="41">
      <c r="A41" s="110" t="n">
        <v>46050</v>
      </c>
      <c r="B41" s="112" t="inlineStr">
        <is>
          <t>雪球申购</t>
        </is>
      </c>
      <c r="C41" s="112" t="n">
        <v>200</v>
      </c>
      <c r="D41" s="112" t="n"/>
      <c r="E41" s="120">
        <f>E40+C41-D41</f>
        <v/>
      </c>
      <c r="F41" s="119" t="inlineStr">
        <is>
          <t>G铁建82C[266500.SH]，670w，102.104，1月29日，元康盛景20号 Z06308 to 鹏石启航9号 Z13506，约定号：222</t>
        </is>
      </c>
      <c r="G41" s="119" t="n"/>
      <c r="H41" s="119" t="n"/>
      <c r="I41" s="568" t="n"/>
      <c r="J41" s="569" t="n"/>
      <c r="K41" s="569" t="n"/>
      <c r="L41" s="568" t="n"/>
      <c r="M41" s="119" t="n"/>
      <c r="N41" s="119" t="n"/>
      <c r="O41" s="119" t="n"/>
      <c r="P41" s="119" t="n"/>
      <c r="Q41" s="119" t="n"/>
      <c r="R41" s="119" t="n"/>
      <c r="S41" s="119" t="n"/>
      <c r="T41" s="119" t="n"/>
      <c r="U41" s="119" t="n"/>
      <c r="V41" s="119" t="n"/>
      <c r="W41" s="119" t="n"/>
      <c r="X41" s="119" t="n"/>
    </row>
    <row r="42">
      <c r="A42" s="110" t="n">
        <v>46051</v>
      </c>
      <c r="B42" s="112" t="inlineStr">
        <is>
          <t>G铁建82C</t>
        </is>
      </c>
      <c r="C42" s="112">
        <f>870*1.02104</f>
        <v/>
      </c>
      <c r="D42" s="112" t="n"/>
      <c r="E42" s="120">
        <f>E41+C42-D42</f>
        <v/>
      </c>
      <c r="F42" s="119" t="inlineStr">
        <is>
          <t>G铁建82C[266500.SH]，200w，102.104，1月29日，元康盛景20号 Z06308 to 鹏石启航9号 Z13506，约定号：333</t>
        </is>
      </c>
      <c r="G42" s="119" t="n"/>
      <c r="H42" s="119" t="n"/>
      <c r="I42" s="568" t="n"/>
      <c r="J42" s="569" t="n"/>
      <c r="K42" s="569" t="n"/>
      <c r="L42" s="568" t="n"/>
      <c r="M42" s="119" t="n"/>
      <c r="N42" s="225" t="n"/>
      <c r="O42" s="119" t="n"/>
      <c r="P42" s="119" t="n"/>
      <c r="Q42" s="119" t="n"/>
      <c r="R42" s="119" t="n"/>
      <c r="S42" s="119" t="n"/>
      <c r="T42" s="119" t="n"/>
      <c r="U42" s="119" t="n"/>
      <c r="V42" s="119" t="n"/>
      <c r="W42" s="119" t="n"/>
      <c r="X42" s="119" t="n"/>
    </row>
    <row r="43">
      <c r="A43" s="117" t="n"/>
      <c r="E43" s="120">
        <f>E42+C43-D43</f>
        <v/>
      </c>
      <c r="F43" s="119" t="n"/>
      <c r="G43" s="119" t="n"/>
      <c r="H43" s="119" t="n"/>
      <c r="I43" s="568" t="n"/>
      <c r="J43" s="569" t="n"/>
      <c r="K43" s="569" t="n"/>
      <c r="L43" s="568" t="n"/>
      <c r="M43" s="119" t="n"/>
      <c r="N43" s="119" t="n"/>
      <c r="O43" s="119" t="n"/>
      <c r="P43" s="119" t="n"/>
      <c r="Q43" s="119" t="n"/>
      <c r="R43" s="119" t="n"/>
      <c r="S43" s="119" t="n"/>
      <c r="T43" s="119" t="n"/>
      <c r="U43" s="119" t="n"/>
      <c r="V43" s="119" t="n"/>
      <c r="W43" s="119" t="n"/>
      <c r="X43" s="119" t="n"/>
    </row>
    <row r="44">
      <c r="A44" s="110" t="n">
        <v>46051</v>
      </c>
      <c r="B44" s="112" t="inlineStr">
        <is>
          <t>朗瑞1-5赎回</t>
        </is>
      </c>
      <c r="C44" s="112" t="n">
        <v>603</v>
      </c>
      <c r="D44" s="112" t="n"/>
      <c r="E44" s="120">
        <f>E43+C44-D44</f>
        <v/>
      </c>
      <c r="F44" s="119" t="n"/>
      <c r="G44" s="119" t="n"/>
      <c r="H44" s="119" t="n"/>
      <c r="I44" s="568" t="n"/>
      <c r="J44" s="569" t="n"/>
      <c r="K44" s="569" t="n"/>
      <c r="L44" s="568" t="n"/>
      <c r="M44" s="119" t="n"/>
      <c r="N44" s="119" t="n"/>
      <c r="O44" s="119" t="n"/>
      <c r="P44" s="119" t="n"/>
      <c r="Q44" s="119" t="n"/>
      <c r="R44" s="119" t="n"/>
      <c r="S44" s="119" t="n"/>
      <c r="T44" s="119" t="n"/>
      <c r="U44" s="119" t="n"/>
      <c r="V44" s="119" t="n"/>
      <c r="W44" s="119" t="n"/>
      <c r="X44" s="119" t="n"/>
    </row>
    <row r="45">
      <c r="A45" s="110" t="n">
        <v>46051</v>
      </c>
      <c r="B45" s="112" t="inlineStr">
        <is>
          <t>赎回</t>
        </is>
      </c>
      <c r="C45" s="112" t="n"/>
      <c r="D45" s="112" t="n">
        <v>6236</v>
      </c>
      <c r="E45" s="120">
        <f>E44+C45-D45</f>
        <v/>
      </c>
      <c r="F45" s="119" t="n"/>
      <c r="J45" s="569" t="n"/>
      <c r="K45" s="569" t="n"/>
      <c r="L45" s="568" t="n"/>
      <c r="M45" s="119" t="n"/>
      <c r="N45" s="119" t="n"/>
      <c r="O45" s="119" t="n"/>
      <c r="P45" s="119" t="n"/>
      <c r="Q45" s="119" t="n"/>
      <c r="R45" s="119" t="n"/>
      <c r="S45" s="119" t="n"/>
      <c r="T45" s="119" t="n"/>
      <c r="U45" s="119" t="n"/>
      <c r="V45" s="119" t="n"/>
      <c r="W45" s="119" t="n"/>
      <c r="X45" s="119" t="n"/>
    </row>
    <row r="46">
      <c r="A46" s="110" t="n">
        <v>46052</v>
      </c>
      <c r="B46" s="112" t="inlineStr">
        <is>
          <t>熠然5A3</t>
        </is>
      </c>
      <c r="C46" s="112" t="n">
        <v>502</v>
      </c>
      <c r="D46" s="112" t="n"/>
      <c r="E46" s="120" t="n">
        <v>1167</v>
      </c>
      <c r="F46" s="119" t="inlineStr">
        <is>
          <t>熠然5A3[263739.SH],500w,100.237净价，1-30，元康盛景20号 to 扬讯</t>
        </is>
      </c>
      <c r="J46" s="569" t="n"/>
      <c r="K46" s="569" t="n"/>
      <c r="M46" s="226" t="n"/>
      <c r="N46" s="119" t="n"/>
      <c r="O46" s="119" t="n"/>
      <c r="P46" s="119" t="n"/>
      <c r="Q46" s="119" t="n"/>
      <c r="R46" s="119" t="n"/>
      <c r="S46" s="119" t="n"/>
      <c r="T46" s="119" t="n"/>
      <c r="U46" s="119" t="n"/>
      <c r="V46" s="119" t="n"/>
      <c r="W46" s="119" t="n"/>
      <c r="X46" s="119" t="n"/>
    </row>
    <row r="47">
      <c r="A47" s="110" t="n">
        <v>46052</v>
      </c>
      <c r="B47" s="112" t="inlineStr">
        <is>
          <t>美市申购</t>
        </is>
      </c>
      <c r="C47" s="112" t="n">
        <v>100</v>
      </c>
      <c r="D47" s="112" t="n"/>
      <c r="E47" s="120">
        <f>E46+C47-D47</f>
        <v/>
      </c>
      <c r="F47" s="119" t="n"/>
      <c r="J47" s="569" t="n"/>
      <c r="K47" s="569" t="n"/>
      <c r="L47" s="568" t="n"/>
      <c r="M47" s="119" t="n"/>
      <c r="N47" s="119" t="n"/>
      <c r="O47" s="119" t="n"/>
      <c r="P47" s="119" t="n"/>
      <c r="Q47" s="119" t="n"/>
      <c r="R47" s="119" t="n"/>
      <c r="S47" s="119" t="n"/>
      <c r="T47" s="119" t="n"/>
      <c r="U47" s="119" t="n"/>
      <c r="V47" s="119" t="n"/>
      <c r="W47" s="119" t="n"/>
      <c r="X47" s="119" t="n"/>
    </row>
    <row r="48">
      <c r="E48" s="120">
        <f>E47+C48-D48</f>
        <v/>
      </c>
      <c r="F48" s="119" t="n"/>
      <c r="H48" s="119" t="n"/>
      <c r="I48" s="568" t="n"/>
      <c r="J48" s="569" t="n"/>
      <c r="K48" s="569" t="n"/>
      <c r="L48" s="568" t="n"/>
      <c r="M48" s="119" t="n"/>
      <c r="N48" s="119" t="n"/>
      <c r="O48" s="119" t="n"/>
      <c r="P48" s="119" t="n"/>
      <c r="Q48" s="119" t="n"/>
      <c r="R48" s="119" t="n"/>
      <c r="S48" s="119" t="n"/>
      <c r="T48" s="119" t="n"/>
      <c r="U48" s="119" t="n"/>
      <c r="V48" s="119" t="n"/>
      <c r="W48" s="119" t="n"/>
      <c r="X48" s="119" t="n"/>
    </row>
    <row r="49">
      <c r="A49" s="156" t="n">
        <v>46055</v>
      </c>
      <c r="B49" s="112" t="inlineStr">
        <is>
          <t>雪球申购</t>
        </is>
      </c>
      <c r="C49" s="112" t="n">
        <v>100</v>
      </c>
      <c r="D49" s="112" t="n"/>
      <c r="E49" s="120">
        <f>E48+C49-D49</f>
        <v/>
      </c>
      <c r="F49" s="119" t="n"/>
      <c r="G49" s="119" t="n"/>
      <c r="H49" s="119" t="n"/>
      <c r="I49" s="568" t="n"/>
      <c r="J49" s="569" t="n"/>
      <c r="K49" s="569" t="n"/>
      <c r="L49" s="568" t="n"/>
      <c r="M49" s="119" t="n"/>
      <c r="N49" s="119" t="n"/>
      <c r="O49" s="119" t="n"/>
      <c r="P49" s="119" t="n"/>
      <c r="Q49" s="119" t="n"/>
      <c r="R49" s="119" t="n"/>
      <c r="S49" s="119" t="n"/>
      <c r="T49" s="119" t="n"/>
      <c r="U49" s="119" t="n"/>
      <c r="V49" s="119" t="n"/>
      <c r="W49" s="119" t="n"/>
      <c r="X49" s="119" t="n"/>
    </row>
    <row r="50">
      <c r="A50" s="156" t="n">
        <v>46055</v>
      </c>
      <c r="B50" s="112" t="inlineStr">
        <is>
          <t>打新</t>
        </is>
      </c>
      <c r="C50" s="112" t="n"/>
      <c r="D50" s="112" t="n">
        <v>1019</v>
      </c>
      <c r="E50" s="120">
        <f>E49+C50-D50</f>
        <v/>
      </c>
      <c r="F50" s="119" t="n"/>
      <c r="G50" s="119" t="n"/>
      <c r="H50" s="119" t="n"/>
      <c r="I50" s="568" t="n"/>
      <c r="J50" s="569" t="n"/>
      <c r="K50" s="569" t="n"/>
      <c r="L50" s="568" t="n"/>
      <c r="M50" s="119" t="n"/>
      <c r="N50" s="119" t="n"/>
      <c r="O50" s="119" t="n"/>
      <c r="P50" s="119" t="n"/>
      <c r="Q50" s="119" t="n"/>
      <c r="R50" s="119" t="n"/>
      <c r="S50" s="119" t="n"/>
      <c r="T50" s="119" t="n"/>
      <c r="U50" s="119" t="n"/>
      <c r="V50" s="119" t="n"/>
      <c r="W50" s="119" t="n"/>
      <c r="X50" s="119" t="n"/>
    </row>
    <row r="51">
      <c r="A51" s="156" t="n">
        <v>46055</v>
      </c>
      <c r="B51" s="112" t="inlineStr">
        <is>
          <t>支付赎回款</t>
        </is>
      </c>
      <c r="C51" s="112" t="n"/>
      <c r="D51" s="112" t="n">
        <v>200</v>
      </c>
      <c r="E51" s="120">
        <f>E50+C51-D51</f>
        <v/>
      </c>
      <c r="F51" s="119" t="n"/>
      <c r="G51" s="119" t="n"/>
      <c r="H51" s="119" t="n"/>
      <c r="I51" s="568" t="n"/>
      <c r="J51" s="569" t="n"/>
      <c r="K51" s="569" t="n"/>
      <c r="L51" s="568" t="n"/>
      <c r="M51" s="119" t="n"/>
      <c r="N51" s="119" t="n"/>
      <c r="O51" s="119" t="n"/>
      <c r="P51" s="119" t="n"/>
      <c r="Q51" s="119" t="n"/>
      <c r="R51" s="119" t="n"/>
      <c r="S51" s="119" t="n"/>
      <c r="T51" s="119" t="n"/>
      <c r="U51" s="119" t="n"/>
      <c r="V51" s="119" t="n"/>
      <c r="W51" s="119" t="n"/>
      <c r="X51" s="119" t="n"/>
    </row>
    <row r="52">
      <c r="A52" s="156" t="n"/>
      <c r="B52" s="112" t="n"/>
      <c r="C52" s="112" t="n"/>
      <c r="D52" s="112" t="n"/>
      <c r="E52" s="120">
        <f>E51+C52-D52</f>
        <v/>
      </c>
      <c r="F52" s="119" t="n"/>
      <c r="G52" s="119" t="n"/>
      <c r="H52" s="119" t="n"/>
      <c r="I52" s="568" t="n"/>
      <c r="J52" s="569" t="n"/>
      <c r="K52" s="569" t="n"/>
      <c r="L52" s="568" t="n"/>
      <c r="M52" s="119" t="n"/>
      <c r="N52" s="119" t="n"/>
      <c r="O52" s="119" t="n"/>
      <c r="P52" s="119" t="n"/>
      <c r="Q52" s="119" t="n"/>
      <c r="R52" s="119" t="n"/>
      <c r="S52" s="119" t="n"/>
      <c r="T52" s="119" t="n"/>
      <c r="U52" s="119" t="n"/>
      <c r="V52" s="119" t="n"/>
      <c r="W52" s="119" t="n"/>
      <c r="X52" s="119" t="n"/>
    </row>
    <row r="53">
      <c r="A53" s="156" t="n">
        <v>46056</v>
      </c>
      <c r="B53" s="112" t="inlineStr">
        <is>
          <t>赎回朗瑞1-5</t>
        </is>
      </c>
      <c r="C53" s="112" t="n">
        <v>200</v>
      </c>
      <c r="D53" s="112" t="n"/>
      <c r="E53" s="120">
        <f>E52+C53-D53</f>
        <v/>
      </c>
      <c r="F53" s="119" t="n"/>
      <c r="G53" s="119" t="n"/>
      <c r="H53" s="119" t="n"/>
      <c r="I53" s="568" t="n"/>
      <c r="J53" s="569" t="n"/>
      <c r="K53" s="569" t="n"/>
      <c r="L53" s="568" t="n"/>
      <c r="M53" s="119" t="n"/>
      <c r="N53" s="119" t="n"/>
      <c r="O53" s="119" t="n"/>
      <c r="P53" s="119" t="n"/>
      <c r="Q53" s="119" t="n"/>
      <c r="R53" s="119" t="n"/>
      <c r="S53" s="119" t="n"/>
      <c r="T53" s="119" t="n"/>
      <c r="U53" s="119" t="n"/>
      <c r="V53" s="119" t="n"/>
      <c r="W53" s="119" t="n"/>
      <c r="X53" s="119" t="n"/>
    </row>
    <row r="54">
      <c r="A54" s="156" t="n">
        <v>46057</v>
      </c>
      <c r="B54" s="112" t="inlineStr">
        <is>
          <t>雪球申购</t>
        </is>
      </c>
      <c r="C54" s="112" t="n">
        <v>100</v>
      </c>
      <c r="D54" s="112" t="n"/>
      <c r="E54" s="120">
        <f>E53+C54-D54</f>
        <v/>
      </c>
      <c r="F54" s="119" t="n"/>
      <c r="G54" s="119" t="n"/>
      <c r="H54" s="119" t="n"/>
      <c r="I54" s="568" t="n"/>
      <c r="J54" s="569" t="n"/>
      <c r="K54" s="569" t="n"/>
      <c r="L54" s="568" t="n"/>
      <c r="M54" s="119" t="n"/>
      <c r="N54" s="119" t="n"/>
      <c r="O54" s="119" t="n"/>
      <c r="P54" s="119" t="n"/>
      <c r="Q54" s="119" t="n"/>
      <c r="R54" s="119" t="n"/>
      <c r="S54" s="119" t="n"/>
      <c r="T54" s="119" t="n"/>
      <c r="U54" s="119" t="n"/>
      <c r="V54" s="119" t="n"/>
      <c r="W54" s="119" t="n"/>
      <c r="X54" s="119" t="n"/>
    </row>
    <row r="55">
      <c r="A55" s="156" t="n">
        <v>46057</v>
      </c>
      <c r="B55" s="112" t="inlineStr">
        <is>
          <t>回款打新</t>
        </is>
      </c>
      <c r="C55" s="112" t="n">
        <v>1019</v>
      </c>
      <c r="D55" s="112" t="n"/>
      <c r="E55" s="120">
        <f>E54+C55-D55</f>
        <v/>
      </c>
      <c r="F55" s="119" t="n"/>
      <c r="G55" s="119" t="n"/>
      <c r="H55" s="119" t="n"/>
      <c r="I55" s="568" t="n"/>
      <c r="J55" s="569" t="n"/>
      <c r="K55" s="569" t="n"/>
      <c r="L55" s="568" t="n"/>
      <c r="M55" s="119" t="n"/>
      <c r="N55" s="119" t="n"/>
      <c r="O55" s="119" t="n"/>
      <c r="P55" s="119" t="n"/>
      <c r="Q55" s="119" t="n"/>
      <c r="R55" s="119" t="n"/>
      <c r="S55" s="119" t="n"/>
      <c r="T55" s="119" t="n"/>
      <c r="U55" s="119" t="n"/>
      <c r="V55" s="119" t="n"/>
      <c r="W55" s="119" t="n"/>
      <c r="X55" s="119" t="n"/>
    </row>
    <row r="56">
      <c r="A56" s="156" t="n">
        <v>46057</v>
      </c>
      <c r="B56" s="112" t="inlineStr">
        <is>
          <t>归还回购</t>
        </is>
      </c>
      <c r="C56" s="112" t="n"/>
      <c r="D56" s="112" t="n">
        <v>1400</v>
      </c>
      <c r="E56" s="120" t="n">
        <v>65</v>
      </c>
      <c r="F56" s="119" t="n"/>
      <c r="G56" s="119" t="n"/>
      <c r="H56" s="119" t="n"/>
      <c r="I56" s="568" t="n"/>
      <c r="J56" s="569" t="n"/>
      <c r="K56" s="569" t="n"/>
      <c r="L56" s="568" t="n"/>
      <c r="M56" s="119" t="n"/>
      <c r="N56" s="119" t="n"/>
      <c r="O56" s="119" t="n"/>
      <c r="P56" s="119" t="n"/>
      <c r="Q56" s="119" t="n"/>
      <c r="R56" s="119" t="n"/>
      <c r="S56" s="119" t="n"/>
      <c r="T56" s="119" t="n"/>
      <c r="U56" s="119" t="n"/>
      <c r="V56" s="119" t="n"/>
      <c r="W56" s="119" t="n"/>
      <c r="X56" s="119" t="n"/>
    </row>
    <row r="57">
      <c r="A57" s="156" t="n">
        <v>46062</v>
      </c>
      <c r="B57" s="112" t="inlineStr">
        <is>
          <t>新增申购</t>
        </is>
      </c>
      <c r="C57" s="112" t="n">
        <v>16</v>
      </c>
      <c r="D57" s="112" t="n"/>
      <c r="E57" s="120">
        <f>E56+C57-D57</f>
        <v/>
      </c>
      <c r="F57" s="119" t="n"/>
      <c r="G57" s="119" t="n"/>
      <c r="H57" s="119" t="n"/>
      <c r="I57" s="568" t="n"/>
      <c r="O57" s="464" t="n"/>
    </row>
    <row r="58">
      <c r="A58" s="156" t="n"/>
      <c r="B58" s="112" t="n"/>
      <c r="C58" s="112" t="n"/>
      <c r="D58" s="112" t="n"/>
      <c r="E58" s="120" t="n">
        <v>81</v>
      </c>
      <c r="F58" s="119" t="n"/>
      <c r="G58" s="119" t="n"/>
      <c r="H58" s="119" t="n"/>
      <c r="I58" s="568" t="n"/>
      <c r="N58" s="117" t="n"/>
    </row>
    <row r="59">
      <c r="A59" s="156" t="n">
        <v>46063</v>
      </c>
      <c r="B59" s="112" t="inlineStr">
        <is>
          <t>雪球申购</t>
        </is>
      </c>
      <c r="C59" s="112" t="n">
        <v>200</v>
      </c>
      <c r="D59" s="112" t="n"/>
      <c r="E59" s="120">
        <f>E58+C59-D59</f>
        <v/>
      </c>
      <c r="F59" s="119" t="n"/>
      <c r="G59" s="119" t="n"/>
      <c r="H59" s="119" t="n"/>
      <c r="I59" s="568" t="n"/>
      <c r="N59" s="117" t="n"/>
    </row>
    <row r="60">
      <c r="A60" s="156" t="n">
        <v>46065</v>
      </c>
      <c r="B60" s="112" t="inlineStr">
        <is>
          <t>雪球申购</t>
        </is>
      </c>
      <c r="C60" s="112" t="n">
        <v>410</v>
      </c>
      <c r="D60" s="112" t="n"/>
      <c r="E60" s="120">
        <f>E59+C60-D60</f>
        <v/>
      </c>
      <c r="F60" s="119" t="n"/>
      <c r="G60" s="119" t="n"/>
      <c r="H60" s="564" t="n"/>
      <c r="I60" s="568" t="n"/>
    </row>
    <row r="61">
      <c r="A61" s="156" t="n">
        <v>46065</v>
      </c>
      <c r="B61" s="112" t="inlineStr">
        <is>
          <t>4美意6次</t>
        </is>
      </c>
      <c r="C61" s="112" t="n"/>
      <c r="D61" s="112">
        <f>300*1.09914</f>
        <v/>
      </c>
      <c r="E61" s="120">
        <f>E60+C61-D61</f>
        <v/>
      </c>
      <c r="F61" s="119" t="inlineStr">
        <is>
          <t>4美意6次 (262764.SH)，300w，全价109.914，2026-2-12，国泰海通 樊文娟 to 元康盛景20号 刘靖涛</t>
        </is>
      </c>
      <c r="G61" s="119" t="n"/>
      <c r="H61" s="564" t="n"/>
      <c r="I61" s="568" t="n"/>
    </row>
    <row r="62">
      <c r="A62" s="156" t="n"/>
      <c r="B62" s="112" t="n"/>
      <c r="C62" s="112" t="n"/>
      <c r="D62" s="112" t="n"/>
      <c r="E62" s="120">
        <f>E61+C62-D62</f>
        <v/>
      </c>
      <c r="F62" s="119" t="n"/>
      <c r="G62" s="119" t="n"/>
      <c r="H62" s="564" t="n"/>
      <c r="I62" s="571" t="n"/>
    </row>
    <row r="63">
      <c r="A63" s="156" t="n">
        <v>46068</v>
      </c>
      <c r="B63" s="112" t="inlineStr">
        <is>
          <t>美市申购</t>
        </is>
      </c>
      <c r="C63" s="112" t="n">
        <v>116</v>
      </c>
      <c r="D63" s="112" t="n"/>
      <c r="E63" s="120">
        <f>E62+C63-D63</f>
        <v/>
      </c>
      <c r="F63" s="119" t="n"/>
      <c r="G63" s="119" t="n"/>
      <c r="H63" s="119" t="n"/>
      <c r="I63" s="568" t="n"/>
    </row>
    <row r="64">
      <c r="A64" s="156" t="n"/>
      <c r="B64" s="112" t="n"/>
      <c r="C64" s="112" t="n"/>
      <c r="D64" s="112" t="n"/>
      <c r="E64" s="120">
        <f>E63+C64-D64</f>
        <v/>
      </c>
      <c r="F64" s="119" t="n"/>
      <c r="G64" s="119" t="n"/>
      <c r="H64" s="119" t="n"/>
      <c r="I64" s="568" t="n"/>
    </row>
    <row r="65">
      <c r="A65" s="156" t="n">
        <v>46077</v>
      </c>
      <c r="B65" s="112" t="inlineStr">
        <is>
          <t>雪球申购</t>
        </is>
      </c>
      <c r="C65" s="112" t="n">
        <v>130</v>
      </c>
      <c r="D65" s="112" t="n"/>
      <c r="E65" s="120">
        <f>E64+C65-D65</f>
        <v/>
      </c>
      <c r="F65" s="119" t="n"/>
      <c r="G65" s="119" t="n"/>
      <c r="H65" s="119" t="n"/>
      <c r="I65" s="568" t="n"/>
    </row>
    <row r="66">
      <c r="A66" s="156" t="n">
        <v>46077</v>
      </c>
      <c r="B66" s="168" t="inlineStr">
        <is>
          <t>熠安02A3回款兑付</t>
        </is>
      </c>
      <c r="C66" s="112" t="n">
        <v>285</v>
      </c>
      <c r="D66" s="112" t="n"/>
      <c r="E66" s="120">
        <f>E65+C66-D66</f>
        <v/>
      </c>
      <c r="F66" s="119" t="n"/>
      <c r="G66" s="119" t="n"/>
      <c r="H66" s="119" t="n"/>
      <c r="I66" s="568" t="n"/>
    </row>
    <row r="67">
      <c r="A67" s="156" t="n">
        <v>46080</v>
      </c>
      <c r="B67" s="112" t="inlineStr">
        <is>
          <t>雪球申购</t>
        </is>
      </c>
      <c r="C67" s="112" t="n">
        <v>305</v>
      </c>
      <c r="D67" s="112" t="n"/>
      <c r="E67" s="120">
        <f>E66+C67-D67</f>
        <v/>
      </c>
      <c r="F67" s="119" t="n"/>
      <c r="G67" s="119" t="n"/>
      <c r="H67" s="119" t="n"/>
      <c r="I67" s="568" t="n"/>
    </row>
    <row r="68">
      <c r="A68" s="156" t="n"/>
      <c r="B68" s="112" t="n"/>
      <c r="C68" s="112" t="n"/>
      <c r="D68" s="112" t="n"/>
      <c r="E68" s="120">
        <f>E67+C68-D68</f>
        <v/>
      </c>
      <c r="F68" s="119" t="n"/>
      <c r="G68" s="119" t="n"/>
      <c r="H68" s="119" t="n"/>
      <c r="I68" s="568" t="n"/>
    </row>
    <row r="69">
      <c r="E69" s="120">
        <f>E68+C69-D69</f>
        <v/>
      </c>
      <c r="F69" s="119" t="n"/>
      <c r="G69" s="119" t="n"/>
      <c r="H69" s="119" t="n"/>
      <c r="I69" s="568" t="n"/>
      <c r="M69" s="0" t="inlineStr">
        <is>
          <t>交易日</t>
        </is>
      </c>
      <c r="N69" s="0" t="inlineStr">
        <is>
          <t>收益率</t>
        </is>
      </c>
    </row>
    <row r="70">
      <c r="A70" s="156" t="n">
        <v>46083</v>
      </c>
      <c r="B70" s="112" t="inlineStr">
        <is>
          <t>4美意6次</t>
        </is>
      </c>
      <c r="C70" s="572">
        <f>300*G70/100</f>
        <v/>
      </c>
      <c r="D70" s="112" t="n"/>
      <c r="E70" s="120">
        <f>E69+C70-D70</f>
        <v/>
      </c>
      <c r="F70" s="0" t="inlineStr">
        <is>
          <t>4美意6次[262764.SH] ,300w,109.42全价，3月2日，元康盛景20号 to 扬讯；4美意6次[262764.SH] ,300w,109.43全价，3月2日，扬讯 to 苏信Z2502；</t>
        </is>
      </c>
      <c r="G70" s="119" t="n">
        <v>109.42</v>
      </c>
      <c r="H70" s="119" t="n"/>
      <c r="I70" s="568" t="n"/>
      <c r="J70" s="276" t="inlineStr">
        <is>
          <t>5美意1次</t>
        </is>
      </c>
      <c r="K70" s="4" t="n">
        <v>46079</v>
      </c>
      <c r="L70" s="276" t="n">
        <v>108.7534</v>
      </c>
      <c r="M70" s="117" t="n">
        <v>46083</v>
      </c>
      <c r="N70" s="277" t="n">
        <v>0.059</v>
      </c>
      <c r="O70" s="0">
        <f>L70*(1+N70/365*(M70-K70))</f>
        <v/>
      </c>
    </row>
    <row r="71">
      <c r="A71" s="156" t="n">
        <v>46083</v>
      </c>
      <c r="B71" s="168" t="inlineStr">
        <is>
          <t>熠安02A3</t>
        </is>
      </c>
      <c r="C71" s="572">
        <f>1100*G71/100</f>
        <v/>
      </c>
      <c r="D71" s="112" t="n"/>
      <c r="E71" s="120">
        <f>E70+C71-D71</f>
        <v/>
      </c>
      <c r="F71" s="0" t="inlineStr">
        <is>
          <t>熠安02A3[144651.SZ]，1100w，净价69.39, 3/2，元康盛景20号 to 扬讯；熠安02A3[144651.SZ]，1100w，净价69.4, 3/2，扬讯 to 苏信财富Z2502；</t>
        </is>
      </c>
      <c r="G71" s="573">
        <f>H71+I71</f>
        <v/>
      </c>
      <c r="H71" s="119" t="n">
        <v>69.39</v>
      </c>
      <c r="I71" s="568" t="n">
        <v>0.05715701369863014</v>
      </c>
    </row>
    <row r="72">
      <c r="A72" s="156" t="n">
        <v>46083</v>
      </c>
      <c r="B72" s="168" t="inlineStr">
        <is>
          <t>铁建051C</t>
        </is>
      </c>
      <c r="C72" s="572">
        <f>665*G72/100</f>
        <v/>
      </c>
      <c r="D72" s="112" t="n"/>
      <c r="E72" s="120">
        <f>E71+C72-D72</f>
        <v/>
      </c>
      <c r="F72" s="0" t="inlineStr">
        <is>
          <t>铁建051C（199768.SH），665w，111.89，3/2，元康盛景20号  to 扬讯；铁建051C（199768.SH），665w，111.90，3/2，扬讯 to 苏信财富Z2502；</t>
        </is>
      </c>
      <c r="G72" s="119" t="n">
        <v>111.89</v>
      </c>
      <c r="H72" s="119" t="n"/>
      <c r="I72" s="568" t="n"/>
      <c r="J72" s="276" t="inlineStr">
        <is>
          <t>铁建051C</t>
        </is>
      </c>
      <c r="K72" s="4" t="n">
        <v>46079</v>
      </c>
      <c r="L72" s="276" t="n">
        <v>111.2463</v>
      </c>
      <c r="M72" s="117" t="n">
        <v>46083</v>
      </c>
      <c r="N72" s="150" t="n">
        <v>0.08500000000000001</v>
      </c>
      <c r="O72" s="0">
        <f>L72*(1+N72/365*(M72-K72))</f>
        <v/>
      </c>
    </row>
    <row r="73">
      <c r="A73" s="156" t="n">
        <v>46083</v>
      </c>
      <c r="B73" s="112" t="inlineStr">
        <is>
          <t>5美意1次</t>
        </is>
      </c>
      <c r="C73" s="572">
        <f>2000*G73/100</f>
        <v/>
      </c>
      <c r="D73" s="112" t="n"/>
      <c r="E73" s="120">
        <f>E72+C73-D73</f>
        <v/>
      </c>
      <c r="F73" s="0" t="inlineStr">
        <is>
          <t>5美意1次[263091.SH] ，2000w，108.814,3/2，元康盛景20号 to 扬讯；5美意1次[263091.SH] ，2000w，108.824,3/2，元康盛景20号 to 扬讯</t>
        </is>
      </c>
      <c r="G73" s="119" t="n">
        <v>108.814</v>
      </c>
      <c r="H73" s="119" t="n"/>
      <c r="I73" s="568" t="n"/>
      <c r="J73" s="276" t="inlineStr">
        <is>
          <t>4美意6次</t>
        </is>
      </c>
      <c r="K73" s="4" t="n">
        <v>46079</v>
      </c>
      <c r="L73" s="276" t="n">
        <v>109.359</v>
      </c>
      <c r="M73" s="117" t="n">
        <v>46083</v>
      </c>
      <c r="N73" s="150" t="n">
        <v>0.059</v>
      </c>
      <c r="O73" s="0">
        <f>L73*(1+N73/365*(M73-K73))</f>
        <v/>
      </c>
    </row>
    <row r="74">
      <c r="A74" s="156" t="n"/>
      <c r="B74" s="112" t="n"/>
      <c r="C74" s="112" t="n"/>
      <c r="D74" s="112" t="n"/>
      <c r="E74" s="120">
        <f>E73+C74-D74</f>
        <v/>
      </c>
      <c r="F74" s="119" t="n"/>
      <c r="G74" s="119" t="n"/>
      <c r="H74" s="119" t="n"/>
      <c r="I74" s="568" t="n"/>
      <c r="J74" s="276" t="inlineStr">
        <is>
          <t>铁建051C</t>
        </is>
      </c>
      <c r="M74" s="280" t="n">
        <v>46038</v>
      </c>
      <c r="N74" s="574" t="n">
        <v>111.075</v>
      </c>
      <c r="O74" s="573">
        <f>N74*(1+6%/365*(M72-M74))</f>
        <v/>
      </c>
    </row>
    <row r="75">
      <c r="A75" s="156" t="n"/>
      <c r="B75" s="112" t="n"/>
      <c r="C75" s="112" t="n"/>
      <c r="D75" s="112" t="n"/>
      <c r="E75" s="120">
        <f>E74+C75-D75</f>
        <v/>
      </c>
      <c r="F75" s="119" t="n"/>
      <c r="G75" s="119" t="n"/>
      <c r="H75" s="119" t="n"/>
      <c r="I75" s="568" t="n"/>
      <c r="J75" s="276" t="n"/>
      <c r="K75" s="4" t="n"/>
      <c r="L75" s="276" t="n"/>
      <c r="M75" s="117" t="n"/>
      <c r="N75" s="277" t="n"/>
    </row>
    <row r="76">
      <c r="A76" s="156" t="n">
        <v>46083</v>
      </c>
      <c r="B76" s="112" t="inlineStr">
        <is>
          <t>赎回</t>
        </is>
      </c>
      <c r="C76" s="112" t="n"/>
      <c r="D76" s="112" t="n">
        <v>4828</v>
      </c>
      <c r="E76" s="120">
        <f>E75+C76-D76</f>
        <v/>
      </c>
      <c r="F76" s="119" t="n"/>
      <c r="J76" s="119" t="n"/>
      <c r="K76" s="119" t="n"/>
      <c r="L76" s="119" t="n"/>
      <c r="M76" s="119" t="n"/>
      <c r="N76" s="119" t="n"/>
      <c r="O76" s="119" t="n"/>
    </row>
    <row r="77">
      <c r="A77" s="156" t="n">
        <v>46084</v>
      </c>
      <c r="B77" s="112" t="inlineStr">
        <is>
          <t>新增申购</t>
        </is>
      </c>
      <c r="C77" s="112" t="n">
        <v>11</v>
      </c>
      <c r="D77" s="112" t="n"/>
      <c r="E77" s="120">
        <f>E76+C77-D77</f>
        <v/>
      </c>
      <c r="F77" s="119" t="n"/>
      <c r="J77" s="119" t="n"/>
      <c r="K77" s="119" t="n"/>
      <c r="L77" s="119" t="n"/>
      <c r="M77" s="119" t="n"/>
      <c r="N77" s="119" t="n"/>
      <c r="O77" s="119" t="n"/>
    </row>
    <row r="78">
      <c r="A78" s="156" t="n">
        <v>46085</v>
      </c>
      <c r="B78" s="112" t="inlineStr">
        <is>
          <t>雪球申购</t>
        </is>
      </c>
      <c r="C78" s="112" t="n">
        <v>45</v>
      </c>
      <c r="D78" s="112" t="n"/>
      <c r="E78" s="120">
        <f>E77+C78-D78</f>
        <v/>
      </c>
      <c r="F78" s="119" t="n"/>
    </row>
    <row r="79">
      <c r="A79" s="156" t="n"/>
      <c r="B79" s="112" t="n"/>
      <c r="C79" s="112" t="n"/>
      <c r="D79" s="112" t="n"/>
      <c r="E79" s="120">
        <f>E78+C79-D79</f>
        <v/>
      </c>
      <c r="F79" s="119" t="n"/>
    </row>
    <row r="80">
      <c r="A80" s="156" t="n">
        <v>46087</v>
      </c>
      <c r="B80" s="112" t="inlineStr">
        <is>
          <t>申购</t>
        </is>
      </c>
      <c r="C80" s="112" t="n">
        <v>200</v>
      </c>
      <c r="D80" s="112" t="n"/>
      <c r="E80" s="120">
        <f>E79+C80-D80</f>
        <v/>
      </c>
      <c r="F80" s="119" t="n"/>
      <c r="M80" s="0" t="inlineStr">
        <is>
          <t> </t>
        </is>
      </c>
    </row>
    <row r="81">
      <c r="A81" s="156" t="n">
        <v>46087</v>
      </c>
      <c r="B81" s="112" t="inlineStr">
        <is>
          <t>5美意3次</t>
        </is>
      </c>
      <c r="C81" s="112">
        <f>1000*107.625/100</f>
        <v/>
      </c>
      <c r="D81" s="112" t="n"/>
      <c r="E81" s="120">
        <f>E80+C81-D81</f>
        <v/>
      </c>
      <c r="F81" s="119" t="inlineStr">
        <is>
          <t xml:space="preserve">3/6,  5美意3次[263710.SH] ，1000w，107.625，元康盛景20号 刘靖涛 to 粤开证券 许逸潇2881647849 </t>
        </is>
      </c>
      <c r="G81" s="0" t="n">
        <v>107.63</v>
      </c>
      <c r="J81" s="119" t="n"/>
      <c r="K81" s="119" t="n"/>
      <c r="L81" s="119" t="n"/>
      <c r="M81" s="119" t="n"/>
      <c r="N81" s="119" t="n"/>
      <c r="O81" s="119" t="n"/>
    </row>
    <row r="82">
      <c r="A82" s="156" t="n"/>
      <c r="B82" s="112" t="n"/>
      <c r="C82" s="112" t="n"/>
      <c r="D82" s="112" t="n"/>
      <c r="E82" s="120">
        <f>E81+C82-D82</f>
        <v/>
      </c>
      <c r="J82" s="0" t="n"/>
      <c r="K82" s="0" t="n"/>
      <c r="L82" s="0" t="n"/>
    </row>
    <row r="83">
      <c r="A83" s="156" t="n"/>
      <c r="B83" s="112" t="n"/>
      <c r="C83" s="112" t="n"/>
      <c r="D83" s="112" t="n"/>
      <c r="E83" s="120">
        <f>E82+C83-D83</f>
        <v/>
      </c>
      <c r="J83" s="0" t="n"/>
      <c r="K83" s="0" t="n"/>
      <c r="L83" s="0" t="n"/>
    </row>
    <row r="84">
      <c r="A84" s="156" t="n">
        <v>46090</v>
      </c>
      <c r="B84" s="112" t="inlineStr">
        <is>
          <t>雪球申购</t>
        </is>
      </c>
      <c r="C84" s="112" t="n">
        <v>550</v>
      </c>
      <c r="D84" s="112" t="n"/>
      <c r="E84" s="120">
        <f>E83+C84-D84</f>
        <v/>
      </c>
    </row>
    <row r="85">
      <c r="A85" s="156" t="n">
        <v>46090</v>
      </c>
      <c r="B85" s="112" t="inlineStr">
        <is>
          <t>申购朗瑞1-7</t>
        </is>
      </c>
      <c r="C85" s="112" t="n"/>
      <c r="D85" s="112" t="n">
        <v>2200</v>
      </c>
      <c r="E85" s="120">
        <f>E84+C85-D85</f>
        <v/>
      </c>
      <c r="F85" s="0" t="inlineStr">
        <is>
          <t>周五定</t>
        </is>
      </c>
    </row>
    <row r="86">
      <c r="A86" s="156" t="n"/>
      <c r="B86" s="112" t="n"/>
      <c r="C86" s="112" t="n"/>
      <c r="D86" s="112" t="n"/>
      <c r="E86" s="120">
        <f>E85+C86-D86</f>
        <v/>
      </c>
    </row>
    <row r="87">
      <c r="A87" s="156" t="n">
        <v>46092</v>
      </c>
      <c r="B87" s="112" t="inlineStr">
        <is>
          <t>雪球申购</t>
        </is>
      </c>
      <c r="C87" s="112" t="n">
        <v>1310</v>
      </c>
      <c r="D87" s="112" t="n"/>
      <c r="E87" s="120">
        <f>E86+C87-D87</f>
        <v/>
      </c>
      <c r="H87" s="564" t="n"/>
    </row>
    <row r="88">
      <c r="A88" s="156" t="n">
        <v>46093</v>
      </c>
      <c r="B88" s="112" t="inlineStr">
        <is>
          <t>荟享244C</t>
        </is>
      </c>
      <c r="C88" s="112" t="n"/>
      <c r="D88" s="112" t="n">
        <v>329</v>
      </c>
      <c r="E88" s="120">
        <f>E87+C88-D88</f>
        <v/>
      </c>
      <c r="H88" s="573" t="n"/>
    </row>
    <row r="89">
      <c r="A89" s="156" t="n"/>
      <c r="B89" s="112" t="n"/>
      <c r="C89" s="112" t="n"/>
      <c r="D89" s="112" t="n"/>
      <c r="E89" s="120">
        <f>E88+C89-D89</f>
        <v/>
      </c>
      <c r="H89" s="573" t="n"/>
    </row>
    <row r="90">
      <c r="A90" s="156" t="n">
        <v>46094</v>
      </c>
      <c r="B90" s="112" t="inlineStr">
        <is>
          <t>朗瑞1-5</t>
        </is>
      </c>
      <c r="C90" s="112" t="n"/>
      <c r="D90" s="112" t="n">
        <v>750</v>
      </c>
      <c r="E90" s="120">
        <f>E89+C90-D90</f>
        <v/>
      </c>
      <c r="H90" s="573" t="n"/>
    </row>
    <row r="91">
      <c r="A91" s="156" t="n">
        <v>46094</v>
      </c>
      <c r="B91" s="112" t="inlineStr">
        <is>
          <t>申购</t>
        </is>
      </c>
      <c r="C91" s="112" t="n">
        <v>100</v>
      </c>
      <c r="D91" s="112" t="n"/>
      <c r="E91" s="120">
        <f>E90+C91-D91</f>
        <v/>
      </c>
      <c r="H91" s="573" t="n"/>
    </row>
    <row r="92">
      <c r="A92" s="156" t="n"/>
      <c r="B92" s="112" t="n"/>
      <c r="C92" s="112" t="n"/>
      <c r="D92" s="112" t="n"/>
      <c r="E92" s="120">
        <f>E91+C92-D92</f>
        <v/>
      </c>
      <c r="H92" s="573" t="n"/>
    </row>
    <row r="93">
      <c r="A93" s="156" t="n">
        <v>46097</v>
      </c>
      <c r="B93" s="112" t="inlineStr">
        <is>
          <t>雪球申购</t>
        </is>
      </c>
      <c r="C93" s="112" t="n">
        <v>129</v>
      </c>
      <c r="D93" s="112" t="n"/>
      <c r="E93" s="120">
        <f>E92+C93-D93</f>
        <v/>
      </c>
      <c r="H93" s="573" t="n"/>
    </row>
    <row r="94">
      <c r="A94" s="156" t="n">
        <v>46097</v>
      </c>
      <c r="B94" s="253" t="inlineStr">
        <is>
          <t>启宸6次</t>
        </is>
      </c>
      <c r="C94" s="112" t="n"/>
      <c r="D94" s="112">
        <f>540*82.512/100</f>
        <v/>
      </c>
      <c r="E94" s="120">
        <f>E93+C94-D94</f>
        <v/>
      </c>
      <c r="F94" s="0" t="inlineStr">
        <is>
          <t>启宸6次 (262537.SH)，540w，82.512全价，3/16，西藏君达4号 to 元康盛景20号</t>
        </is>
      </c>
      <c r="H94" s="573" t="n"/>
    </row>
    <row r="95">
      <c r="A95" s="156" t="n"/>
      <c r="B95" s="253" t="n"/>
      <c r="C95" s="112" t="n"/>
      <c r="D95" s="112" t="n"/>
      <c r="E95" s="120">
        <f>E94+C95-D95</f>
        <v/>
      </c>
      <c r="H95" s="573" t="n"/>
    </row>
    <row r="96">
      <c r="A96" s="156" t="n">
        <v>46104</v>
      </c>
      <c r="B96" s="253" t="inlineStr">
        <is>
          <t>朗瑞1-5赎回</t>
        </is>
      </c>
      <c r="C96" s="112" t="n">
        <v>1000</v>
      </c>
      <c r="D96" s="112" t="n"/>
      <c r="E96" s="120">
        <f>E95+C96-D96</f>
        <v/>
      </c>
      <c r="H96" s="573" t="n"/>
    </row>
    <row r="97">
      <c r="A97" s="4" t="n">
        <v>46104</v>
      </c>
      <c r="B97" s="253" t="inlineStr">
        <is>
          <t>兑付</t>
        </is>
      </c>
      <c r="C97" s="0" t="n">
        <v>79.5</v>
      </c>
      <c r="E97" s="120">
        <f>E96+C97-D97</f>
        <v/>
      </c>
      <c r="H97" s="573" t="n"/>
    </row>
    <row r="98">
      <c r="A98" s="156" t="n">
        <v>46104</v>
      </c>
      <c r="B98" s="112" t="inlineStr">
        <is>
          <t>雪球申购</t>
        </is>
      </c>
      <c r="C98" s="112" t="n">
        <v>237</v>
      </c>
      <c r="D98" s="112" t="n"/>
      <c r="E98" s="120">
        <f>E97+C98-D98</f>
        <v/>
      </c>
      <c r="H98" s="573" t="n"/>
    </row>
    <row r="99">
      <c r="A99" s="156" t="n">
        <v>46104</v>
      </c>
      <c r="B99" s="253" t="inlineStr">
        <is>
          <t>申购朗瑞1-5</t>
        </is>
      </c>
      <c r="C99" s="112" t="n"/>
      <c r="D99" s="112" t="n">
        <v>1300</v>
      </c>
      <c r="E99" s="120">
        <f>E98+C99-D99</f>
        <v/>
      </c>
    </row>
    <row r="100">
      <c r="A100" s="156" t="n">
        <v>46105</v>
      </c>
      <c r="B100" s="253" t="inlineStr">
        <is>
          <t>新增申购</t>
        </is>
      </c>
      <c r="C100" s="112" t="n">
        <v>100</v>
      </c>
      <c r="D100" s="112" t="n"/>
      <c r="E100" s="120">
        <f>E99+C100-D100</f>
        <v/>
      </c>
    </row>
    <row r="101">
      <c r="A101" s="156" t="n">
        <v>46106</v>
      </c>
      <c r="B101" s="253" t="inlineStr">
        <is>
          <t>美市申购</t>
        </is>
      </c>
      <c r="C101" s="112" t="n">
        <v>106</v>
      </c>
      <c r="D101" s="112" t="n"/>
      <c r="E101" s="120">
        <f>E100+C101-D101</f>
        <v/>
      </c>
    </row>
    <row r="102">
      <c r="A102" s="156" t="n"/>
      <c r="B102" s="112" t="n"/>
      <c r="C102" s="112" t="n"/>
      <c r="D102" s="112" t="n"/>
      <c r="E102" s="120">
        <f>E101+C102-D102</f>
        <v/>
      </c>
    </row>
    <row r="103">
      <c r="A103" s="156" t="n">
        <v>46108</v>
      </c>
      <c r="B103" s="112" t="inlineStr">
        <is>
          <t>美市申购</t>
        </is>
      </c>
      <c r="C103" s="112" t="n">
        <v>100</v>
      </c>
      <c r="D103" s="112" t="n"/>
      <c r="E103" s="120">
        <f>E102+C103-D103</f>
        <v/>
      </c>
    </row>
    <row r="104">
      <c r="A104" s="156" t="n"/>
      <c r="B104" s="112" t="n"/>
      <c r="C104" s="112" t="n"/>
      <c r="D104" s="112" t="n"/>
      <c r="E104" s="120">
        <f>E103+C104-D104</f>
        <v/>
      </c>
    </row>
    <row r="105">
      <c r="A105" s="156" t="n"/>
      <c r="B105" s="112" t="n"/>
      <c r="C105" s="112" t="n"/>
      <c r="D105" s="112" t="n"/>
      <c r="E105" s="120">
        <f>E104+C105-D105</f>
        <v/>
      </c>
    </row>
    <row r="106">
      <c r="A106" s="156" t="n">
        <v>46111</v>
      </c>
      <c r="B106" s="112" t="inlineStr">
        <is>
          <t>朗瑞1-5赎回</t>
        </is>
      </c>
      <c r="C106" s="112">
        <f>朗瑞1_5!D78</f>
        <v/>
      </c>
      <c r="D106" s="112" t="n"/>
      <c r="E106" s="120">
        <f>E105+C106-D106</f>
        <v/>
      </c>
    </row>
    <row r="107">
      <c r="A107" s="156" t="n">
        <v>46111</v>
      </c>
      <c r="B107" s="112" t="inlineStr">
        <is>
          <t>赎回</t>
        </is>
      </c>
      <c r="C107" s="112" t="n"/>
      <c r="D107" s="112" t="n">
        <v>2312</v>
      </c>
      <c r="E107" s="120">
        <f>E106+C107-D107</f>
        <v/>
      </c>
    </row>
    <row r="108">
      <c r="A108" s="156" t="n">
        <v>46112</v>
      </c>
      <c r="B108" s="112" t="inlineStr">
        <is>
          <t>美市申购</t>
        </is>
      </c>
      <c r="C108" s="112" t="n">
        <v>50</v>
      </c>
      <c r="D108" s="112" t="n"/>
      <c r="E108" s="120">
        <f>E107+C108-D108</f>
        <v/>
      </c>
    </row>
    <row r="109">
      <c r="A109" s="156" t="n">
        <v>46112</v>
      </c>
      <c r="B109" s="112" t="inlineStr">
        <is>
          <t>雪球申购</t>
        </is>
      </c>
      <c r="C109" s="112" t="n">
        <v>216</v>
      </c>
      <c r="D109" s="112" t="n"/>
      <c r="E109" s="120">
        <f>E108+C109-D109</f>
        <v/>
      </c>
    </row>
    <row r="110">
      <c r="A110" s="156" t="n">
        <v>46113</v>
      </c>
      <c r="B110" s="112" t="inlineStr">
        <is>
          <t>雪球申购</t>
        </is>
      </c>
      <c r="C110" s="112" t="n">
        <v>60</v>
      </c>
      <c r="D110" s="112" t="n"/>
      <c r="E110" s="120">
        <f>E109+C110-D110</f>
        <v/>
      </c>
    </row>
    <row r="111">
      <c r="A111" s="156" t="n">
        <v>46115</v>
      </c>
      <c r="B111" s="112" t="inlineStr">
        <is>
          <t>美市申购</t>
        </is>
      </c>
      <c r="C111" s="112" t="n">
        <v>100</v>
      </c>
      <c r="D111" s="112" t="n"/>
      <c r="E111" s="120">
        <f>E110+C111-D111</f>
        <v/>
      </c>
    </row>
    <row r="112">
      <c r="A112" s="156" t="n">
        <v>46119</v>
      </c>
      <c r="B112" s="112" t="inlineStr">
        <is>
          <t>雪球申购</t>
        </is>
      </c>
      <c r="C112" s="112" t="n">
        <v>346</v>
      </c>
      <c r="D112" s="112" t="n"/>
      <c r="E112" s="120">
        <f>E111+C112-D112</f>
        <v/>
      </c>
    </row>
    <row r="113">
      <c r="A113" s="156" t="n"/>
      <c r="B113" s="112" t="n"/>
      <c r="C113" s="112" t="n"/>
      <c r="D113" s="112" t="n"/>
      <c r="E113" s="120">
        <f>E112+C113-D113</f>
        <v/>
      </c>
    </row>
    <row r="114">
      <c r="A114" s="156" t="n">
        <v>46119</v>
      </c>
      <c r="B114" s="112" t="inlineStr">
        <is>
          <t>朗瑞1-7申购</t>
        </is>
      </c>
      <c r="C114" s="112" t="n"/>
      <c r="D114" s="112" t="n">
        <v>2100</v>
      </c>
      <c r="E114" s="120">
        <f>E113+C114-D114</f>
        <v/>
      </c>
    </row>
    <row r="115">
      <c r="A115" s="252" t="n">
        <v>46120</v>
      </c>
      <c r="B115" s="253" t="inlineStr">
        <is>
          <t>申购</t>
        </is>
      </c>
      <c r="C115" s="253" t="n">
        <v>100</v>
      </c>
      <c r="D115" s="253" t="n"/>
      <c r="E115" s="120">
        <f>E114+C115-D115</f>
        <v/>
      </c>
    </row>
    <row r="116">
      <c r="A116" s="252" t="n">
        <v>46120</v>
      </c>
      <c r="B116" s="253" t="inlineStr">
        <is>
          <t>管理费</t>
        </is>
      </c>
      <c r="C116" s="253" t="n"/>
      <c r="D116" s="253" t="n">
        <v>159</v>
      </c>
      <c r="E116" s="120">
        <f>E115+C116-D116</f>
        <v/>
      </c>
    </row>
    <row r="117">
      <c r="A117" s="252" t="n">
        <v>46120</v>
      </c>
      <c r="B117" s="253" t="inlineStr">
        <is>
          <t>托管费</t>
        </is>
      </c>
      <c r="C117" s="253" t="n"/>
      <c r="D117" s="253" t="n">
        <v>4.7</v>
      </c>
      <c r="E117" s="120">
        <f>E116+C117-D117</f>
        <v/>
      </c>
    </row>
    <row r="118">
      <c r="A118" s="252" t="n">
        <v>46121</v>
      </c>
      <c r="B118" s="253" t="inlineStr">
        <is>
          <t>雪球申购</t>
        </is>
      </c>
      <c r="C118" s="253" t="n">
        <v>740</v>
      </c>
      <c r="D118" s="253" t="n"/>
      <c r="E118" s="120">
        <f>E117+C118-D118</f>
        <v/>
      </c>
    </row>
    <row r="119">
      <c r="A119" s="156" t="n">
        <v>46122</v>
      </c>
      <c r="B119" s="112" t="inlineStr">
        <is>
          <t>申购外贸元康1</t>
        </is>
      </c>
      <c r="C119" s="112" t="n"/>
      <c r="D119" s="112" t="n">
        <v>1000</v>
      </c>
      <c r="E119" s="120">
        <f>E118+C119-D119</f>
        <v/>
      </c>
    </row>
    <row r="120">
      <c r="A120" s="156" t="n">
        <v>46125</v>
      </c>
      <c r="B120" s="112" t="inlineStr">
        <is>
          <t>雪球申购</t>
        </is>
      </c>
      <c r="C120" s="112" t="n">
        <v>500</v>
      </c>
      <c r="D120" s="112" t="n"/>
      <c r="E120" s="120">
        <f>E119+C120-D120</f>
        <v/>
      </c>
    </row>
    <row r="121">
      <c r="A121" s="156" t="n">
        <v>46125</v>
      </c>
      <c r="B121" s="112" t="inlineStr">
        <is>
          <t>申购</t>
        </is>
      </c>
      <c r="C121" s="112" t="n">
        <v>100</v>
      </c>
      <c r="D121" s="112" t="n"/>
      <c r="E121" s="422">
        <f>604+58</f>
        <v/>
      </c>
      <c r="I121" s="564" t="inlineStr">
        <is>
          <t>铁建081C</t>
        </is>
      </c>
      <c r="J121" s="464">
        <f>XIRR(J122:J125,I122:I125)</f>
        <v/>
      </c>
    </row>
    <row r="122">
      <c r="A122" s="156" t="n">
        <v>46126</v>
      </c>
      <c r="B122" s="112" t="inlineStr">
        <is>
          <t>铁建081C</t>
        </is>
      </c>
      <c r="C122" s="112" t="n"/>
      <c r="D122" s="112">
        <f>295*102.332%</f>
        <v/>
      </c>
      <c r="E122" s="120">
        <f>E121+C122-D122</f>
        <v/>
      </c>
      <c r="F122" s="0" t="inlineStr">
        <is>
          <t>4/14，铁建081C（265587.SH），295w，102.332，【清哲清信21号 Z13506 qq：1549350975，李韧】to 元康盛景20号 Z06308，约定号：664--dd5.5%</t>
        </is>
      </c>
      <c r="I122" s="266" t="n">
        <v>45832</v>
      </c>
      <c r="J122" s="565" t="n">
        <v>-100</v>
      </c>
    </row>
    <row r="123">
      <c r="A123" s="156" t="n"/>
      <c r="B123" s="112" t="n"/>
      <c r="C123" s="112" t="n"/>
      <c r="D123" s="112" t="n"/>
      <c r="E123" s="120">
        <f>E122+C123-D123</f>
        <v/>
      </c>
      <c r="I123" s="266" t="n">
        <v>45958</v>
      </c>
      <c r="J123" s="565" t="n">
        <v>1.726</v>
      </c>
    </row>
    <row r="124">
      <c r="A124" s="156" t="n"/>
      <c r="B124" s="112" t="n"/>
      <c r="C124" s="112" t="n"/>
      <c r="D124" s="112" t="n"/>
      <c r="E124" s="120">
        <f>E123+C124-D124</f>
        <v/>
      </c>
      <c r="I124" s="279" t="n">
        <v>46044</v>
      </c>
      <c r="J124" s="565" t="n">
        <v>1.1781</v>
      </c>
    </row>
    <row r="125">
      <c r="A125" s="156" t="n">
        <v>46127</v>
      </c>
      <c r="B125" s="112" t="inlineStr">
        <is>
          <t>雪球申购</t>
        </is>
      </c>
      <c r="C125" s="112" t="n">
        <v>388</v>
      </c>
      <c r="D125" s="112" t="n"/>
      <c r="E125" s="120">
        <f>E124+C125-D125</f>
        <v/>
      </c>
      <c r="I125" s="279" t="n">
        <v>46126</v>
      </c>
      <c r="J125" s="565" t="n">
        <v>102.332</v>
      </c>
    </row>
    <row r="126">
      <c r="A126" s="156" t="n">
        <v>46129</v>
      </c>
      <c r="B126" s="112" t="inlineStr">
        <is>
          <t>外贸元康1号申购</t>
        </is>
      </c>
      <c r="C126" s="112" t="n"/>
      <c r="D126" s="112" t="n">
        <v>730</v>
      </c>
      <c r="E126" s="120">
        <f>E125+C126-D126</f>
        <v/>
      </c>
      <c r="F126" s="112" t="inlineStr">
        <is>
          <t>已发</t>
        </is>
      </c>
      <c r="I126" s="564" t="inlineStr">
        <is>
          <t>4/10估值</t>
        </is>
      </c>
      <c r="J126" s="565" t="n">
        <v>102.2323</v>
      </c>
    </row>
    <row r="127">
      <c r="A127" s="156" t="n">
        <v>46129</v>
      </c>
      <c r="B127" s="112" t="inlineStr">
        <is>
          <t>美市申购</t>
        </is>
      </c>
      <c r="C127" s="112" t="n">
        <v>150</v>
      </c>
      <c r="D127" s="112" t="n"/>
      <c r="E127" s="120">
        <f>E126+C127-D127</f>
        <v/>
      </c>
    </row>
    <row r="128">
      <c r="A128" s="156" t="n">
        <v>46132</v>
      </c>
      <c r="B128" s="112" t="inlineStr">
        <is>
          <t>税费</t>
        </is>
      </c>
      <c r="C128" s="112" t="n"/>
      <c r="D128" s="112" t="n">
        <v>9.65</v>
      </c>
      <c r="E128" s="120">
        <f>E127+C128-D128</f>
        <v/>
      </c>
    </row>
    <row r="129">
      <c r="A129" s="156" t="n">
        <v>46132</v>
      </c>
      <c r="B129" s="112" t="inlineStr">
        <is>
          <t>雪球申购</t>
        </is>
      </c>
      <c r="C129" s="112" t="n">
        <v>1166.4</v>
      </c>
      <c r="D129" s="112" t="n"/>
      <c r="E129" s="120">
        <f>E128+C129-D129</f>
        <v/>
      </c>
    </row>
    <row r="130">
      <c r="A130" s="156" t="n">
        <v>46133</v>
      </c>
      <c r="B130" s="112" t="inlineStr">
        <is>
          <t>美市申购</t>
        </is>
      </c>
      <c r="C130" s="112" t="n">
        <v>500</v>
      </c>
      <c r="D130" s="112" t="n"/>
      <c r="E130" s="120">
        <f>E129+C130-D130</f>
        <v/>
      </c>
    </row>
    <row r="131">
      <c r="A131" s="156" t="n">
        <v>46133</v>
      </c>
      <c r="B131" s="112" t="inlineStr">
        <is>
          <t>铁建081C兑付</t>
        </is>
      </c>
      <c r="C131" s="112" t="n">
        <v>3.6</v>
      </c>
      <c r="D131" s="112" t="n"/>
      <c r="E131" s="120">
        <f>E130+C131-D131</f>
        <v/>
      </c>
    </row>
    <row r="132">
      <c r="A132" s="156" t="n">
        <v>46134</v>
      </c>
      <c r="B132" s="112" t="inlineStr">
        <is>
          <t>雪球申购</t>
        </is>
      </c>
      <c r="C132" s="112" t="n">
        <v>173.3</v>
      </c>
      <c r="D132" s="112" t="n"/>
      <c r="E132" s="120">
        <f>E131+C132-D132</f>
        <v/>
      </c>
    </row>
    <row r="133">
      <c r="A133" s="156" t="n">
        <v>46134</v>
      </c>
      <c r="B133" s="112" t="inlineStr">
        <is>
          <t>启宸6次兑付</t>
        </is>
      </c>
      <c r="C133" s="112" t="n">
        <v>70</v>
      </c>
      <c r="D133" s="112" t="n"/>
      <c r="E133" s="120">
        <f>E132+C133-D133</f>
        <v/>
      </c>
    </row>
    <row r="134">
      <c r="A134" s="156" t="n">
        <v>46136</v>
      </c>
      <c r="B134" s="112" t="inlineStr">
        <is>
          <t>美市申购</t>
        </is>
      </c>
      <c r="C134" s="112" t="n">
        <v>540</v>
      </c>
      <c r="D134" s="112" t="n"/>
      <c r="E134" s="120">
        <f>E133+C134-D134</f>
        <v/>
      </c>
    </row>
    <row r="135">
      <c r="A135" s="156" t="n"/>
      <c r="B135" s="156" t="n"/>
      <c r="C135" s="156" t="n"/>
      <c r="D135" s="156" t="n"/>
      <c r="E135" s="120">
        <f>E134+C135-D135</f>
        <v/>
      </c>
      <c r="F135" s="4" t="n"/>
      <c r="G135" s="4" t="n"/>
    </row>
    <row r="136">
      <c r="A136" s="156" t="n">
        <v>46136</v>
      </c>
      <c r="B136" s="112" t="inlineStr">
        <is>
          <t>外贸-元康1号</t>
        </is>
      </c>
      <c r="C136" s="112" t="n"/>
      <c r="D136" s="112" t="n">
        <v>800</v>
      </c>
      <c r="E136" s="120">
        <f>E135+C136-D136</f>
        <v/>
      </c>
      <c r="F136" s="473" t="inlineStr">
        <is>
          <t>4/23发出</t>
        </is>
      </c>
    </row>
    <row r="137">
      <c r="A137" s="156" t="n">
        <v>46139</v>
      </c>
      <c r="B137" s="112" t="inlineStr">
        <is>
          <t>雪球申购</t>
        </is>
      </c>
      <c r="C137" s="112" t="n">
        <v>361</v>
      </c>
      <c r="D137" s="112" t="n"/>
      <c r="E137" s="120">
        <f>E136+C137-D137</f>
        <v/>
      </c>
    </row>
    <row r="138">
      <c r="A138" s="156" t="n"/>
      <c r="B138" s="112" t="n"/>
      <c r="C138" s="112" t="n"/>
      <c r="D138" s="112" t="n"/>
      <c r="E138" s="120">
        <f>E137+C138-D138</f>
        <v/>
      </c>
    </row>
    <row r="139">
      <c r="A139" s="156" t="n">
        <v>46140</v>
      </c>
      <c r="B139" s="112" t="inlineStr">
        <is>
          <t>申购</t>
        </is>
      </c>
      <c r="C139" s="112" t="n">
        <v>100</v>
      </c>
      <c r="D139" s="112" t="n"/>
      <c r="E139" s="120">
        <f>E138+C139-D139</f>
        <v/>
      </c>
    </row>
    <row r="140">
      <c r="A140" s="156" t="n">
        <v>46141</v>
      </c>
      <c r="B140" s="112" t="inlineStr">
        <is>
          <t>雪球申购</t>
        </is>
      </c>
      <c r="C140" s="112" t="n">
        <v>103.05</v>
      </c>
      <c r="D140" s="112" t="n"/>
      <c r="E140" s="120">
        <f>E139+C140-D140</f>
        <v/>
      </c>
    </row>
    <row r="141">
      <c r="A141" s="156" t="n">
        <v>46142</v>
      </c>
      <c r="B141" s="112" t="inlineStr">
        <is>
          <t>赎回</t>
        </is>
      </c>
      <c r="C141" s="112" t="n"/>
      <c r="D141" s="112">
        <f>1721.903296+2.846648</f>
        <v/>
      </c>
      <c r="E141" s="120">
        <f>E140+C141-D141</f>
        <v/>
      </c>
    </row>
    <row r="142">
      <c r="A142" s="156" t="n">
        <v>46142</v>
      </c>
      <c r="B142" s="112" t="inlineStr">
        <is>
          <t>新疆国信分配</t>
        </is>
      </c>
      <c r="C142" s="112" t="n">
        <v>21.98</v>
      </c>
      <c r="D142" s="112" t="n"/>
      <c r="E142" s="120">
        <f>E141+C142-D142</f>
        <v/>
      </c>
      <c r="K142" s="565" t="inlineStr">
        <is>
          <t>                       </t>
        </is>
      </c>
    </row>
    <row r="143">
      <c r="A143" s="156" t="n"/>
      <c r="B143" s="112" t="n"/>
      <c r="C143" s="112" t="n"/>
      <c r="D143" s="112" t="n"/>
      <c r="E143" s="120">
        <f>E142+C143-D143</f>
        <v/>
      </c>
    </row>
    <row r="144">
      <c r="A144" s="156" t="n">
        <v>46148</v>
      </c>
      <c r="B144" s="112" t="inlineStr">
        <is>
          <t>美市申购</t>
        </is>
      </c>
      <c r="C144" s="112" t="n">
        <v>340</v>
      </c>
      <c r="D144" s="112" t="n"/>
      <c r="E144" s="120">
        <f>E143+C144-D144</f>
        <v/>
      </c>
    </row>
    <row r="145">
      <c r="A145" s="156" t="n">
        <v>46149</v>
      </c>
      <c r="B145" s="112" t="inlineStr">
        <is>
          <t>雪球申购</t>
        </is>
      </c>
      <c r="C145" s="112" t="n">
        <v>856.97</v>
      </c>
      <c r="D145" s="112" t="n"/>
      <c r="E145" s="120">
        <f>E144+C145-D145</f>
        <v/>
      </c>
    </row>
    <row r="146">
      <c r="A146" s="156" t="n">
        <v>46150</v>
      </c>
      <c r="B146" s="112" t="inlineStr">
        <is>
          <t>美市申购</t>
        </is>
      </c>
      <c r="C146" s="112" t="n">
        <v>467</v>
      </c>
      <c r="D146" s="112" t="n"/>
      <c r="E146" s="120">
        <f>E145+C146-D146</f>
        <v/>
      </c>
    </row>
    <row r="147">
      <c r="A147" s="156" t="n">
        <v>46150</v>
      </c>
      <c r="B147" s="112" t="inlineStr">
        <is>
          <t>朗瑞1-5</t>
        </is>
      </c>
      <c r="C147" s="112" t="n"/>
      <c r="D147" s="112" t="n">
        <v>700</v>
      </c>
      <c r="E147" s="120">
        <f>E146+C147-D147</f>
        <v/>
      </c>
      <c r="F147" s="562" t="inlineStr">
        <is>
          <t>已发</t>
        </is>
      </c>
    </row>
    <row r="148">
      <c r="A148" s="156" t="n">
        <v>46150</v>
      </c>
      <c r="B148" s="112" t="inlineStr">
        <is>
          <t>申购外贸-元康1号</t>
        </is>
      </c>
      <c r="C148" s="112" t="n"/>
      <c r="D148" s="112" t="n">
        <v>1600</v>
      </c>
      <c r="E148" s="120">
        <f>E147+C148-D148</f>
        <v/>
      </c>
      <c r="F148" s="562" t="inlineStr">
        <is>
          <t>已发</t>
        </is>
      </c>
    </row>
    <row r="149">
      <c r="A149" s="156" t="n"/>
      <c r="B149" s="112" t="n"/>
      <c r="C149" s="112" t="n"/>
      <c r="D149" s="112" t="n"/>
      <c r="E149" s="120">
        <f>E148+C149-D149</f>
        <v/>
      </c>
    </row>
    <row r="150">
      <c r="A150" s="156" t="n"/>
      <c r="B150" s="112" t="n"/>
      <c r="C150" s="112" t="n"/>
      <c r="D150" s="112" t="n"/>
      <c r="E150" s="120">
        <f>E149+C150-D150</f>
        <v/>
      </c>
    </row>
    <row r="151">
      <c r="A151" s="156" t="n">
        <v>46153</v>
      </c>
      <c r="B151" s="112" t="inlineStr">
        <is>
          <t>雪球申购</t>
        </is>
      </c>
      <c r="C151" s="112" t="n">
        <v>111</v>
      </c>
      <c r="D151" s="112" t="n"/>
      <c r="E151" s="120">
        <f>E150+C151-D151</f>
        <v/>
      </c>
    </row>
    <row r="152">
      <c r="A152" s="156" t="n">
        <v>46154</v>
      </c>
      <c r="B152" s="112" t="inlineStr">
        <is>
          <t>美市申购</t>
        </is>
      </c>
      <c r="C152" s="112" t="n">
        <v>20</v>
      </c>
      <c r="D152" s="112" t="n"/>
      <c r="E152" s="120">
        <f>E151+C152-D152</f>
        <v/>
      </c>
    </row>
    <row r="153">
      <c r="A153" s="156" t="n">
        <v>46155</v>
      </c>
      <c r="B153" s="112" t="inlineStr">
        <is>
          <t>雪球申购</t>
        </is>
      </c>
      <c r="C153" s="112" t="n">
        <v>561</v>
      </c>
      <c r="D153" s="112" t="n"/>
      <c r="E153" s="120">
        <f>E152+C153-D153</f>
        <v/>
      </c>
    </row>
    <row r="154">
      <c r="A154" s="156" t="n">
        <v>46157</v>
      </c>
      <c r="B154" s="112" t="inlineStr">
        <is>
          <t>美市申购</t>
        </is>
      </c>
      <c r="C154" s="112" t="n">
        <v>100</v>
      </c>
      <c r="D154" s="112" t="n"/>
      <c r="E154" s="120">
        <f>E153+C154-D154</f>
        <v/>
      </c>
      <c r="G154" s="0" t="inlineStr">
        <is>
          <t> </t>
        </is>
      </c>
    </row>
    <row r="155">
      <c r="A155" s="156" t="n">
        <v>46157</v>
      </c>
      <c r="B155" s="112" t="inlineStr">
        <is>
          <t>朗瑞1-7申购</t>
        </is>
      </c>
      <c r="C155" s="112" t="n"/>
      <c r="D155" s="112" t="n">
        <v>800</v>
      </c>
      <c r="E155" s="120">
        <f>E154+C155-D155</f>
        <v/>
      </c>
      <c r="F155" s="562" t="inlineStr">
        <is>
          <t>已发</t>
        </is>
      </c>
    </row>
    <row r="156">
      <c r="A156" s="156" t="n"/>
      <c r="B156" s="112" t="n"/>
      <c r="C156" s="112" t="n"/>
      <c r="D156" s="112" t="n"/>
      <c r="E156" s="120">
        <f>E155+C156-D156</f>
        <v/>
      </c>
    </row>
    <row r="157">
      <c r="A157" s="156" t="n"/>
      <c r="B157" s="112" t="n"/>
      <c r="C157" s="112" t="n"/>
      <c r="D157" s="112" t="n"/>
      <c r="E157" s="120">
        <f>E156+C157-D157</f>
        <v/>
      </c>
    </row>
    <row r="158">
      <c r="A158" s="156" t="n"/>
      <c r="B158" s="112" t="n"/>
      <c r="C158" s="112" t="n"/>
      <c r="D158" s="112" t="n"/>
      <c r="E158" s="120">
        <f>E157+C158-D158</f>
        <v/>
      </c>
    </row>
    <row r="159">
      <c r="A159" s="156" t="n">
        <v>46160</v>
      </c>
      <c r="B159" s="112" t="inlineStr">
        <is>
          <t>雪球申购</t>
        </is>
      </c>
      <c r="C159" s="112" t="n">
        <v>137</v>
      </c>
      <c r="D159" s="112" t="n"/>
      <c r="E159" s="120">
        <f>E158+C159-D159</f>
        <v/>
      </c>
    </row>
    <row r="160">
      <c r="A160" s="4" t="n">
        <v>46161</v>
      </c>
      <c r="B160" s="0" t="inlineStr">
        <is>
          <t>申购</t>
        </is>
      </c>
      <c r="C160" s="0" t="n">
        <v>103.5</v>
      </c>
      <c r="E160" s="245">
        <f>E159+C160-D160</f>
        <v/>
      </c>
    </row>
    <row r="161">
      <c r="A161" s="4" t="n">
        <v>46162</v>
      </c>
      <c r="B161" s="0" t="inlineStr">
        <is>
          <t>雪球申购</t>
        </is>
      </c>
      <c r="C161" s="0" t="n">
        <v>1630</v>
      </c>
      <c r="E161" s="245">
        <f>E160+C161-D161</f>
        <v/>
      </c>
    </row>
    <row r="162">
      <c r="A162" s="4" t="n">
        <v>46164</v>
      </c>
      <c r="B162" s="0" t="inlineStr">
        <is>
          <t>启宸6预期回款</t>
        </is>
      </c>
      <c r="C162" s="0" t="n">
        <v>70</v>
      </c>
      <c r="E162" s="245">
        <f>E161+C162-D162</f>
        <v/>
      </c>
    </row>
    <row r="163">
      <c r="E163" s="245">
        <f>E162+C163-D163</f>
        <v/>
      </c>
    </row>
    <row r="164">
      <c r="A164" s="4" t="n">
        <v>46164</v>
      </c>
      <c r="B164" s="0" t="inlineStr">
        <is>
          <t>朗瑞1号5期申购</t>
        </is>
      </c>
      <c r="D164" s="0" t="n">
        <v>1100</v>
      </c>
      <c r="E164" s="245">
        <f>E163+C164-D164</f>
        <v/>
      </c>
      <c r="F164" s="0" t="inlineStr">
        <is>
          <t>521发出</t>
        </is>
      </c>
    </row>
    <row r="165">
      <c r="E165" s="245">
        <f>E164+C165-D165</f>
        <v/>
      </c>
    </row>
    <row r="166">
      <c r="A166" s="4" t="n">
        <v>46168</v>
      </c>
      <c r="B166" s="0" t="inlineStr">
        <is>
          <t>朗瑞1号7期申购</t>
        </is>
      </c>
      <c r="D166" s="0" t="n">
        <v>500</v>
      </c>
      <c r="E166" s="245">
        <f>E165+C166-D166</f>
        <v/>
      </c>
      <c r="F166" s="0" t="inlineStr">
        <is>
          <t>525发出</t>
        </is>
      </c>
    </row>
    <row r="167">
      <c r="A167" s="4" t="n">
        <v>46170</v>
      </c>
      <c r="B167" s="0" t="inlineStr">
        <is>
          <t>雪球赎回</t>
        </is>
      </c>
      <c r="D167" s="0">
        <f>(110+132.44)*1.2</f>
        <v/>
      </c>
      <c r="E167" s="245">
        <f>E166+C167-D167</f>
        <v/>
      </c>
    </row>
    <row r="168">
      <c r="E168" s="245">
        <f>E167+C168-D168</f>
        <v/>
      </c>
    </row>
    <row r="169">
      <c r="E169" s="245">
        <f>E168+C169-D169</f>
        <v/>
      </c>
    </row>
    <row r="170">
      <c r="E170" s="245">
        <f>E169+C170-D170</f>
        <v/>
      </c>
    </row>
    <row r="171">
      <c r="E171" s="245">
        <f>E170+C171-D171</f>
        <v/>
      </c>
    </row>
    <row r="172">
      <c r="E172" s="245">
        <f>E171+C172-D172</f>
        <v/>
      </c>
    </row>
    <row r="173">
      <c r="E173" s="245">
        <f>E172+C173-D173</f>
        <v/>
      </c>
    </row>
    <row r="174">
      <c r="E174" s="245">
        <f>E173+C174-D174</f>
        <v/>
      </c>
    </row>
    <row r="175">
      <c r="A175" s="4" t="n">
        <v>46200</v>
      </c>
      <c r="B175" s="0" t="inlineStr">
        <is>
          <t>赎回</t>
        </is>
      </c>
      <c r="D175" s="0">
        <f>240*1.2</f>
        <v/>
      </c>
      <c r="E175" s="245">
        <f>E174+C175-D175</f>
        <v/>
      </c>
    </row>
    <row r="176">
      <c r="E176" s="245">
        <f>E175+C176-D176</f>
        <v/>
      </c>
    </row>
    <row r="177">
      <c r="E177" s="245">
        <f>E176+C177-D177</f>
        <v/>
      </c>
    </row>
    <row r="178">
      <c r="E178" s="245">
        <f>E177+C178-D178</f>
        <v/>
      </c>
    </row>
    <row r="179">
      <c r="E179" s="245">
        <f>E178+C179-D179</f>
        <v/>
      </c>
    </row>
    <row r="180">
      <c r="E180" s="245">
        <f>E179+C180-D180</f>
        <v/>
      </c>
    </row>
    <row r="181">
      <c r="E181" s="245">
        <f>E180+C181-D181</f>
        <v/>
      </c>
    </row>
    <row r="182">
      <c r="E182" s="245">
        <f>E181+C182-D182</f>
        <v/>
      </c>
    </row>
    <row r="183">
      <c r="E183" s="245">
        <f>E182+C183-D183</f>
        <v/>
      </c>
    </row>
  </sheetData>
  <conditionalFormatting sqref="B94:B97 B100:B101">
    <cfRule type="duplicateValues" priority="3" dxfId="0"/>
  </conditionalFormatting>
  <conditionalFormatting sqref="B99">
    <cfRule type="duplicateValues" priority="2" dxfId="0"/>
  </conditionalFormatting>
  <conditionalFormatting sqref="E1:E1048576">
    <cfRule type="cellIs" priority="1" operator="lessThan" dxfId="0">
      <formula>0</formula>
    </cfRule>
  </conditionalFormatting>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S146"/>
  <sheetViews>
    <sheetView zoomScaleNormal="100" workbookViewId="0">
      <pane ySplit="2" topLeftCell="A111" activePane="bottomLeft" state="frozen"/>
      <selection activeCell="A1" sqref="A1:E1"/>
      <selection pane="bottomLeft" activeCell="G136" sqref="G136"/>
    </sheetView>
  </sheetViews>
  <sheetFormatPr baseColWidth="8" defaultRowHeight="16.5"/>
  <cols>
    <col width="11" customWidth="1" style="4" min="1" max="1"/>
    <col width="16.5" bestFit="1" customWidth="1" style="326" min="2" max="2"/>
    <col width="11" customWidth="1" style="326" min="3" max="3"/>
    <col width="12" customWidth="1" style="326" min="4" max="4"/>
    <col width="8.75" bestFit="1" customWidth="1" style="563" min="5" max="5"/>
    <col width="15.75" customWidth="1" style="326" min="7" max="7"/>
    <col width="12.875" bestFit="1" customWidth="1" style="326" min="8" max="8"/>
    <col width="9.25" bestFit="1" customWidth="1" style="564" min="9" max="9"/>
    <col width="13.625" bestFit="1" customWidth="1" style="565" min="10" max="10"/>
    <col width="9" customWidth="1" style="565" min="11" max="11"/>
    <col width="16.125" bestFit="1" customWidth="1" style="564" min="12" max="12"/>
  </cols>
  <sheetData>
    <row r="1" ht="17.1" customHeight="1" s="326">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4" t="n">
        <v>46023</v>
      </c>
      <c r="E3" s="563" t="n">
        <v>4182</v>
      </c>
    </row>
    <row r="4">
      <c r="E4" s="563">
        <f>+E3+C4-D4</f>
        <v/>
      </c>
    </row>
    <row r="5">
      <c r="A5" s="4" t="n">
        <v>46027</v>
      </c>
      <c r="E5" s="563" t="n">
        <v>2377</v>
      </c>
    </row>
    <row r="6">
      <c r="A6" s="156" t="n">
        <v>46030</v>
      </c>
      <c r="B6" s="112" t="inlineStr">
        <is>
          <t>普险29B</t>
        </is>
      </c>
      <c r="C6" s="112" t="n">
        <v>109</v>
      </c>
      <c r="D6" s="112" t="n"/>
      <c r="E6" s="572">
        <f>+E5+C6-D6</f>
        <v/>
      </c>
    </row>
    <row r="7">
      <c r="A7" s="156" t="n">
        <v>46029</v>
      </c>
      <c r="B7" s="112" t="inlineStr">
        <is>
          <t>盛煜015C</t>
        </is>
      </c>
      <c r="C7" s="112" t="n">
        <v>550</v>
      </c>
      <c r="D7" s="112" t="n"/>
      <c r="E7" s="572">
        <f>+E6+C7-D7</f>
        <v/>
      </c>
    </row>
    <row r="8">
      <c r="A8" s="156" t="n">
        <v>46029</v>
      </c>
      <c r="B8" s="112" t="inlineStr">
        <is>
          <t>泓晟1号3期优先B级</t>
        </is>
      </c>
      <c r="C8" s="112" t="n">
        <v>430</v>
      </c>
      <c r="D8" s="112" t="n"/>
      <c r="E8" s="572">
        <f>+E7+C8-D8</f>
        <v/>
      </c>
      <c r="J8" s="190" t="n"/>
    </row>
    <row r="9">
      <c r="A9" s="156" t="n">
        <v>46029</v>
      </c>
      <c r="B9" s="112" t="inlineStr">
        <is>
          <t>五矿赎回</t>
        </is>
      </c>
      <c r="C9" s="112" t="n"/>
      <c r="D9" s="112" t="n">
        <v>3213</v>
      </c>
      <c r="E9" s="572">
        <f>+E8+C9-D9</f>
        <v/>
      </c>
    </row>
    <row r="10">
      <c r="A10" s="156" t="n"/>
      <c r="B10" s="112" t="n"/>
      <c r="C10" s="112" t="n"/>
      <c r="D10" s="112" t="n"/>
      <c r="E10" s="572">
        <f>+E9+C10-D10</f>
        <v/>
      </c>
    </row>
    <row r="11">
      <c r="A11" s="156" t="n">
        <v>46034</v>
      </c>
      <c r="B11" s="112" t="inlineStr">
        <is>
          <t>兑付回款</t>
        </is>
      </c>
      <c r="C11" s="112" t="n">
        <v>5</v>
      </c>
      <c r="D11" s="112" t="n"/>
      <c r="E11" s="572">
        <f>+E10+C11-D11</f>
        <v/>
      </c>
    </row>
    <row r="12">
      <c r="A12" s="156" t="n">
        <v>46035</v>
      </c>
      <c r="B12" s="112" t="inlineStr">
        <is>
          <t>五矿申购</t>
        </is>
      </c>
      <c r="C12" s="112" t="n">
        <v>450</v>
      </c>
      <c r="D12" s="112" t="n"/>
      <c r="E12" s="572">
        <f>+E11+C12-D12</f>
        <v/>
      </c>
    </row>
    <row r="13">
      <c r="A13" s="156" t="n">
        <v>46037</v>
      </c>
      <c r="B13" s="112" t="inlineStr">
        <is>
          <t>兑付回款</t>
        </is>
      </c>
      <c r="C13" s="112" t="n">
        <v>217</v>
      </c>
      <c r="D13" s="112" t="n"/>
      <c r="E13" s="572">
        <f>+E12+C13-D13</f>
        <v/>
      </c>
      <c r="G13" s="122" t="inlineStr">
        <is>
          <t>盘下1月15日的回款，注意质押</t>
        </is>
      </c>
    </row>
    <row r="14">
      <c r="A14" s="156" t="n">
        <v>46038</v>
      </c>
      <c r="B14" s="112" t="inlineStr">
        <is>
          <t>25乐信1C</t>
        </is>
      </c>
      <c r="C14" s="112" t="n">
        <v>600</v>
      </c>
      <c r="D14" s="112" t="n"/>
      <c r="E14" s="572">
        <f>+E13+C14-D14</f>
        <v/>
      </c>
      <c r="F14" s="0" t="inlineStr">
        <is>
          <t>25乐信1C[264610.SH]，600w，100，1月16日，元康盛景26号 to 芜湖扬讯 Z11825</t>
        </is>
      </c>
    </row>
    <row r="15">
      <c r="A15" s="156" t="n">
        <v>46038</v>
      </c>
      <c r="B15" s="112" t="inlineStr">
        <is>
          <t>炽诚3A3</t>
        </is>
      </c>
      <c r="C15" s="112" t="n">
        <v>995</v>
      </c>
      <c r="D15" s="112" t="n"/>
      <c r="E15" s="572">
        <f>+E14+C15-D15</f>
        <v/>
      </c>
      <c r="F15" s="0" t="inlineStr">
        <is>
          <t>炽诚3A3[266980.SH]，1000w，99.5，1月16日，元康盛景26号 to 芜湖扬讯 Z11825</t>
        </is>
      </c>
    </row>
    <row r="16">
      <c r="A16" s="156" t="n">
        <v>46038</v>
      </c>
      <c r="B16" s="112" t="inlineStr">
        <is>
          <t>DY03优3</t>
        </is>
      </c>
      <c r="C16" s="112" t="n">
        <v>1000</v>
      </c>
      <c r="D16" s="112" t="n"/>
      <c r="E16" s="572">
        <f>+E15+C16-D16</f>
        <v/>
      </c>
      <c r="F16" s="0" t="inlineStr">
        <is>
          <t>DY03优3[266192.SH]，1000w，100，1月16日，元康盛景26号 to 芜湖扬讯 Z11825</t>
        </is>
      </c>
    </row>
    <row r="17">
      <c r="A17" s="156" t="n"/>
      <c r="B17" s="112" t="n"/>
      <c r="C17" s="112" t="n"/>
      <c r="D17" s="112" t="n"/>
      <c r="E17" s="572">
        <f>+E16+C17-D17</f>
        <v/>
      </c>
    </row>
    <row r="18">
      <c r="A18" s="156" t="n">
        <v>46038</v>
      </c>
      <c r="B18" s="112" t="inlineStr">
        <is>
          <t>熠安02A3</t>
        </is>
      </c>
      <c r="C18" s="112" t="n"/>
      <c r="D18" s="112" t="n">
        <v>570</v>
      </c>
      <c r="E18" s="572">
        <f>+E17+C18-D18</f>
        <v/>
      </c>
      <c r="F18" s="0" t="inlineStr">
        <is>
          <t>熠安02A3[144651.SZ]，600w，净价94.95，1月16日，元康22 to 扬讯</t>
        </is>
      </c>
    </row>
    <row r="19">
      <c r="E19" s="563" t="n">
        <v>2951</v>
      </c>
      <c r="F19" s="0" t="inlineStr">
        <is>
          <t>熠安02A3[144651.SZ]，600w，净价94.9548，1月16日， 扬讯 to 元康26</t>
        </is>
      </c>
    </row>
    <row r="20">
      <c r="A20" s="156" t="n">
        <v>46041</v>
      </c>
      <c r="B20" s="112" t="inlineStr">
        <is>
          <t>归还回购</t>
        </is>
      </c>
      <c r="C20" s="112" t="n"/>
      <c r="D20" s="112" t="n">
        <v>2632</v>
      </c>
      <c r="E20" s="563">
        <f>+E19+C20-D20</f>
        <v/>
      </c>
    </row>
    <row r="21">
      <c r="A21" s="156" t="n">
        <v>46042</v>
      </c>
      <c r="B21" s="112" t="inlineStr">
        <is>
          <t>新增申购</t>
        </is>
      </c>
      <c r="C21" s="112" t="n">
        <v>180</v>
      </c>
      <c r="D21" s="112" t="n"/>
      <c r="E21" s="563">
        <f>+E20+C21-D21</f>
        <v/>
      </c>
    </row>
    <row r="22">
      <c r="A22" s="156" t="n">
        <v>46044</v>
      </c>
      <c r="B22" s="112" t="inlineStr">
        <is>
          <t>底层回款</t>
        </is>
      </c>
      <c r="C22" s="112" t="n">
        <v>462</v>
      </c>
      <c r="D22" s="112" t="n"/>
      <c r="E22" s="563">
        <f>+E21+C22-D22</f>
        <v/>
      </c>
    </row>
    <row r="23">
      <c r="A23" s="156" t="n">
        <v>46045</v>
      </c>
      <c r="B23" s="112" t="inlineStr">
        <is>
          <t>底层回款</t>
        </is>
      </c>
      <c r="C23" s="112" t="n">
        <v>28</v>
      </c>
      <c r="D23" s="112" t="n"/>
      <c r="E23" s="563">
        <f>+E22+C23-D23</f>
        <v/>
      </c>
    </row>
    <row r="24">
      <c r="E24" s="563" t="n">
        <v>993</v>
      </c>
    </row>
    <row r="25">
      <c r="A25" s="156" t="n">
        <v>46048</v>
      </c>
      <c r="B25" s="112" t="inlineStr">
        <is>
          <t>底层回款</t>
        </is>
      </c>
      <c r="C25" s="112" t="n">
        <v>242</v>
      </c>
      <c r="D25" s="112" t="n"/>
      <c r="E25" s="563">
        <f>+E24+C25-D25</f>
        <v/>
      </c>
    </row>
    <row r="26">
      <c r="A26" s="156" t="n">
        <v>46049</v>
      </c>
      <c r="B26" s="112" t="inlineStr">
        <is>
          <t>五矿追加</t>
        </is>
      </c>
      <c r="C26" s="112" t="n">
        <v>1070</v>
      </c>
      <c r="D26" s="112" t="n"/>
      <c r="E26" s="563">
        <f>+E25+C26-D26</f>
        <v/>
      </c>
    </row>
    <row r="27">
      <c r="A27" s="156" t="n">
        <v>46052</v>
      </c>
      <c r="B27" s="112" t="inlineStr">
        <is>
          <t>底层回款</t>
        </is>
      </c>
      <c r="C27" s="112" t="n">
        <v>53</v>
      </c>
      <c r="D27" s="112" t="n"/>
      <c r="E27" s="563">
        <f>+E26+C27-D27</f>
        <v/>
      </c>
    </row>
    <row r="28">
      <c r="A28" s="156" t="n">
        <v>46052</v>
      </c>
      <c r="B28" s="112" t="inlineStr">
        <is>
          <t>熠然5A3</t>
        </is>
      </c>
      <c r="C28" s="112" t="n"/>
      <c r="D28" s="112" t="n">
        <v>505</v>
      </c>
      <c r="E28" s="572" t="n">
        <v>1850</v>
      </c>
      <c r="F28" s="0" t="inlineStr">
        <is>
          <t>熠然5A3[263739.SH],500w,100.247净价，1-30，扬讯 to 元康盛景26号</t>
        </is>
      </c>
    </row>
    <row r="29">
      <c r="A29" s="156" t="n">
        <v>46058</v>
      </c>
      <c r="B29" s="112" t="inlineStr">
        <is>
          <t>乐信</t>
        </is>
      </c>
      <c r="C29" s="112" t="n"/>
      <c r="D29" s="112" t="n">
        <v>1500</v>
      </c>
      <c r="E29" s="572">
        <f>+E28+C29-D29</f>
        <v/>
      </c>
      <c r="F29" s="0" t="inlineStr">
        <is>
          <t>“乐信13C”代码：500421，1500w，3.5%，2-5缴款，2-6起息，元康盛景26号</t>
        </is>
      </c>
    </row>
    <row r="30">
      <c r="A30" s="156" t="n"/>
      <c r="B30" s="156" t="n"/>
      <c r="C30" s="156" t="n"/>
      <c r="D30" s="156" t="n"/>
      <c r="E30" s="572" t="n">
        <v>347</v>
      </c>
    </row>
    <row r="31">
      <c r="A31" s="156" t="n"/>
      <c r="B31" s="156" t="n"/>
      <c r="C31" s="156" t="n"/>
      <c r="D31" s="156" t="n"/>
      <c r="E31" s="572">
        <f>+E30+C31-D31</f>
        <v/>
      </c>
    </row>
    <row r="32">
      <c r="A32" s="156" t="n">
        <v>46059</v>
      </c>
      <c r="B32" s="112" t="inlineStr">
        <is>
          <t>增加回购</t>
        </is>
      </c>
      <c r="C32" s="112" t="n">
        <v>2090</v>
      </c>
      <c r="D32" s="112" t="n"/>
      <c r="E32" s="572">
        <f>+E31+C32-D32</f>
        <v/>
      </c>
      <c r="H32" s="190" t="n"/>
    </row>
    <row r="33">
      <c r="A33" s="156" t="n">
        <v>46063</v>
      </c>
      <c r="B33" s="112" t="inlineStr">
        <is>
          <t>五矿赎回</t>
        </is>
      </c>
      <c r="C33" s="112" t="n"/>
      <c r="D33" s="112">
        <f>300*1.076</f>
        <v/>
      </c>
      <c r="E33" s="572">
        <f>+E32+C33-D33</f>
        <v/>
      </c>
    </row>
    <row r="34">
      <c r="A34" s="156" t="n">
        <v>46065</v>
      </c>
      <c r="B34" s="112" t="inlineStr">
        <is>
          <t>小鹏B</t>
        </is>
      </c>
      <c r="C34" s="112" t="n"/>
      <c r="D34" s="112" t="n">
        <v>2000</v>
      </c>
      <c r="E34" s="572">
        <f>+E33+C34-D34</f>
        <v/>
      </c>
      <c r="F34" s="0" t="inlineStr">
        <is>
          <t>小鹏5B”代码：500446，2000w，3.3%，2月12日缴款，2月13日起息，元康盛景26号</t>
        </is>
      </c>
    </row>
    <row r="35">
      <c r="A35" s="156" t="n">
        <v>46065</v>
      </c>
      <c r="B35" s="112" t="inlineStr">
        <is>
          <t>星灿5A3</t>
        </is>
      </c>
      <c r="C35" s="112" t="n"/>
      <c r="D35" s="112" t="n">
        <v>18</v>
      </c>
      <c r="E35" s="572">
        <f>+E34+C35-D35</f>
        <v/>
      </c>
      <c r="F35" s="0" t="inlineStr">
        <is>
          <t>星灿5A3,144780.SZ,18w, 净价100,2月12日，国泰海通樊文娟 to 元康盛景26号 刘靖涛</t>
        </is>
      </c>
    </row>
    <row r="36">
      <c r="A36" s="156" t="n">
        <v>46066</v>
      </c>
      <c r="B36" s="112" t="inlineStr">
        <is>
          <t>回款</t>
        </is>
      </c>
      <c r="C36" s="112" t="n">
        <v>2.7</v>
      </c>
      <c r="D36" s="112" t="n"/>
      <c r="E36" s="572">
        <f>+E35+C36-D36</f>
        <v/>
      </c>
    </row>
    <row r="37">
      <c r="A37" s="156" t="n"/>
      <c r="B37" s="112" t="n"/>
      <c r="C37" s="112" t="n"/>
      <c r="D37" s="112" t="n"/>
      <c r="E37" s="572">
        <f>+E36+C37-D37</f>
        <v/>
      </c>
    </row>
    <row r="38">
      <c r="A38" s="156" t="n">
        <v>46077</v>
      </c>
      <c r="B38" s="112" t="inlineStr">
        <is>
          <t>回款</t>
        </is>
      </c>
      <c r="C38" s="112" t="n">
        <v>727</v>
      </c>
      <c r="D38" s="112" t="n"/>
      <c r="E38" s="572">
        <f>+E37+C38-D38</f>
        <v/>
      </c>
      <c r="F38" s="0" t="inlineStr">
        <is>
          <t>剩余539w质押中</t>
        </is>
      </c>
    </row>
    <row r="39">
      <c r="A39" s="156" t="n"/>
      <c r="B39" s="112" t="n"/>
      <c r="C39" s="112" t="n"/>
      <c r="D39" s="112" t="n"/>
      <c r="E39" s="572">
        <f>+E38+C39-D39</f>
        <v/>
      </c>
    </row>
    <row r="40">
      <c r="A40" s="156" t="n"/>
      <c r="B40" s="112" t="n"/>
      <c r="C40" s="112" t="n"/>
      <c r="D40" s="112" t="n"/>
      <c r="E40" s="572">
        <f>+E39+C40-D40</f>
        <v/>
      </c>
    </row>
    <row r="41">
      <c r="A41" s="156" t="n">
        <v>46078</v>
      </c>
      <c r="B41" s="112" t="inlineStr">
        <is>
          <t>25YH1A2</t>
        </is>
      </c>
      <c r="C41" s="112" t="n">
        <v>794</v>
      </c>
      <c r="D41" s="112" t="n"/>
      <c r="E41" s="572">
        <f>+E40+C41-D41</f>
        <v/>
      </c>
      <c r="F41" s="0" t="inlineStr">
        <is>
          <t>25YH1A2[264411.SH]，净价79.218，2-25，元康盛景26号 刘靖涛3003993899 to 中信证券 xxx</t>
        </is>
      </c>
      <c r="I41" s="0" t="n"/>
    </row>
    <row r="42">
      <c r="A42" s="156" t="n">
        <v>46078</v>
      </c>
      <c r="B42" s="112" t="inlineStr">
        <is>
          <t>回购归还</t>
        </is>
      </c>
      <c r="C42" s="112" t="n"/>
      <c r="D42" s="112" t="n">
        <v>184.8</v>
      </c>
      <c r="E42" s="572">
        <f>+E41+C42-D42</f>
        <v/>
      </c>
      <c r="F42" s="0" t="inlineStr">
        <is>
          <t>熠然5A3续作的时候，由于面值减少14元，回购续作本金金额会减少184.8</t>
        </is>
      </c>
      <c r="I42" s="0" t="n"/>
    </row>
    <row r="43">
      <c r="A43" s="156" t="n">
        <v>46079</v>
      </c>
      <c r="B43" s="112" t="inlineStr">
        <is>
          <t>回款</t>
        </is>
      </c>
      <c r="C43" s="112" t="n">
        <v>5.9</v>
      </c>
      <c r="D43" s="112" t="n"/>
      <c r="E43" s="572" t="n">
        <v>1426</v>
      </c>
      <c r="I43" s="0" t="n"/>
    </row>
    <row r="44">
      <c r="A44" s="156" t="n">
        <v>46079</v>
      </c>
      <c r="B44" s="112" t="inlineStr">
        <is>
          <t>新增回购</t>
        </is>
      </c>
      <c r="C44" s="112" t="n">
        <v>790</v>
      </c>
      <c r="D44" s="112" t="n"/>
      <c r="E44" s="572">
        <f>+E43+C44-D44</f>
        <v/>
      </c>
      <c r="I44" s="0" t="n"/>
    </row>
    <row r="45">
      <c r="A45" s="156" t="n">
        <v>46079</v>
      </c>
      <c r="B45" s="112" t="inlineStr">
        <is>
          <t>归还回购-星灿5A3</t>
        </is>
      </c>
      <c r="C45" s="112" t="n"/>
      <c r="D45" s="112" t="n">
        <v>1625</v>
      </c>
      <c r="E45" s="572">
        <f>+E44+C45-D45</f>
        <v/>
      </c>
      <c r="I45" s="0" t="n"/>
    </row>
    <row r="46">
      <c r="A46" s="156" t="n">
        <v>46079</v>
      </c>
      <c r="B46" s="112" t="inlineStr">
        <is>
          <t>回购释放-星灿5A3</t>
        </is>
      </c>
      <c r="C46" s="112" t="n">
        <v>593</v>
      </c>
      <c r="D46" s="112" t="n"/>
      <c r="E46" s="572">
        <f>+E45+C46-D46</f>
        <v/>
      </c>
      <c r="I46" s="0" t="n"/>
    </row>
    <row r="47">
      <c r="A47" s="156" t="n">
        <v>46079</v>
      </c>
      <c r="B47" s="112" t="inlineStr">
        <is>
          <t>25鑫驰1B</t>
        </is>
      </c>
      <c r="C47" s="112" t="n">
        <v>814</v>
      </c>
      <c r="D47" s="112" t="n"/>
      <c r="E47" s="572">
        <f>+E46+C47-D47</f>
        <v/>
      </c>
      <c r="F47" s="0" t="inlineStr">
        <is>
          <t>25号碰要素</t>
        </is>
      </c>
      <c r="G47" s="0" t="inlineStr">
        <is>
          <t xml:space="preserve">25鑫驰1B[146026.SZ]，800w，净价101.5，2月26日，元康盛景26号 刘靖涛 to 粤开许逸潇 </t>
        </is>
      </c>
      <c r="I47" s="0" t="n"/>
    </row>
    <row r="48">
      <c r="A48" s="156" t="n">
        <v>46080</v>
      </c>
      <c r="B48" s="112" t="inlineStr">
        <is>
          <t>回款</t>
        </is>
      </c>
      <c r="C48" s="112" t="n">
        <v>15.4</v>
      </c>
      <c r="D48" s="112" t="n"/>
      <c r="E48" s="572">
        <f>+E47+C48-D48</f>
        <v/>
      </c>
    </row>
    <row r="49">
      <c r="A49" s="156" t="n">
        <v>46080</v>
      </c>
      <c r="B49" s="112" t="inlineStr">
        <is>
          <t>归还回购</t>
        </is>
      </c>
      <c r="C49" s="112" t="n"/>
      <c r="D49" s="112" t="n">
        <v>600</v>
      </c>
      <c r="E49" s="572">
        <f>+E48+C49-D49</f>
        <v/>
      </c>
    </row>
    <row r="50">
      <c r="A50" s="156" t="n"/>
      <c r="B50" s="112" t="n"/>
      <c r="C50" s="112" t="n"/>
      <c r="D50" s="112" t="n"/>
      <c r="E50" s="572" t="n">
        <v>1409</v>
      </c>
    </row>
    <row r="51">
      <c r="A51" s="156" t="n">
        <v>46083</v>
      </c>
      <c r="B51" s="112" t="inlineStr">
        <is>
          <t>德银簿记</t>
        </is>
      </c>
      <c r="C51" s="112" t="n"/>
      <c r="D51" s="112" t="n">
        <v>200</v>
      </c>
      <c r="E51" s="572">
        <f>+E50+C51-D51</f>
        <v/>
      </c>
      <c r="F51" s="0" t="inlineStr">
        <is>
          <t>德银07B/267906，200w，2.8%，3/2缴款，3/3起息，元康盛景26号</t>
        </is>
      </c>
    </row>
    <row r="52">
      <c r="A52" s="156" t="n">
        <v>46083</v>
      </c>
      <c r="B52" s="112" t="inlineStr">
        <is>
          <t>熹焱07A3</t>
        </is>
      </c>
      <c r="C52" s="112">
        <f>苏信次级Z2502!D38</f>
        <v/>
      </c>
      <c r="D52" s="112" t="n"/>
      <c r="E52" s="572">
        <f>+E51+C52-D52</f>
        <v/>
      </c>
    </row>
    <row r="53">
      <c r="A53" s="156" t="n">
        <v>46083</v>
      </c>
      <c r="B53" s="112" t="inlineStr">
        <is>
          <t>回款</t>
        </is>
      </c>
      <c r="C53" s="112" t="n">
        <v>65</v>
      </c>
      <c r="D53" s="112" t="n"/>
      <c r="E53" s="572">
        <f>+E52+C53-D53</f>
        <v/>
      </c>
      <c r="N53" s="0" t="inlineStr">
        <is>
          <t>待定的东方电气</t>
        </is>
      </c>
      <c r="O53" s="563" t="n">
        <v>1000</v>
      </c>
      <c r="P53" s="563" t="n">
        <v>11000</v>
      </c>
      <c r="Q53" s="563">
        <f>O53+P53</f>
        <v/>
      </c>
      <c r="R53" s="564" t="n"/>
    </row>
    <row r="54">
      <c r="A54" s="156" t="n">
        <v>46084</v>
      </c>
      <c r="B54" s="112" t="inlineStr">
        <is>
          <t>归还熠然5A3回购</t>
        </is>
      </c>
      <c r="C54" s="112" t="n"/>
      <c r="D54" s="112" t="n">
        <v>1135</v>
      </c>
      <c r="E54" s="572">
        <f>+E53+C54-D54</f>
        <v/>
      </c>
      <c r="F54" s="0" t="inlineStr">
        <is>
          <t>已沟通</t>
        </is>
      </c>
      <c r="N54" s="0" t="inlineStr">
        <is>
          <t>元康28</t>
        </is>
      </c>
      <c r="O54" s="563" t="n">
        <v>500</v>
      </c>
      <c r="P54" s="563" t="n">
        <v>4000</v>
      </c>
      <c r="Q54" s="563">
        <f>O54+P54</f>
        <v/>
      </c>
      <c r="R54" s="575" t="n">
        <v>0.045</v>
      </c>
      <c r="S54" s="563">
        <f>Q54*R54</f>
        <v/>
      </c>
    </row>
    <row r="55">
      <c r="E55" s="563" t="n">
        <v>469</v>
      </c>
      <c r="N55" s="0" t="inlineStr">
        <is>
          <t>外贸1</t>
        </is>
      </c>
      <c r="O55" s="563" t="n"/>
      <c r="P55" s="563">
        <f>12000*25%</f>
        <v/>
      </c>
      <c r="Q55" s="563">
        <f>O55+P55</f>
        <v/>
      </c>
      <c r="R55" s="575" t="n">
        <v>0.055</v>
      </c>
      <c r="S55" s="563">
        <f>Q55*R55</f>
        <v/>
      </c>
    </row>
    <row r="56">
      <c r="A56" s="156" t="n">
        <v>46090</v>
      </c>
      <c r="B56" s="112" t="inlineStr">
        <is>
          <t>五矿申购</t>
        </is>
      </c>
      <c r="C56" s="112" t="n">
        <v>1400</v>
      </c>
      <c r="D56" s="112" t="n"/>
      <c r="E56" s="572">
        <f>+E55+C56-D56</f>
        <v/>
      </c>
      <c r="N56" s="0" t="inlineStr">
        <is>
          <t>元康26</t>
        </is>
      </c>
      <c r="O56" s="563" t="n">
        <v>500</v>
      </c>
      <c r="P56" s="563" t="n">
        <v>4000</v>
      </c>
      <c r="Q56" s="563">
        <f>O56+P56</f>
        <v/>
      </c>
      <c r="R56" s="575" t="n">
        <v>0.03</v>
      </c>
      <c r="S56" s="563">
        <f>Q56*R56</f>
        <v/>
      </c>
    </row>
    <row r="57">
      <c r="A57" s="156" t="n">
        <v>46092</v>
      </c>
      <c r="B57" s="112" t="inlineStr">
        <is>
          <t>归还回购-朗煜1A3</t>
        </is>
      </c>
      <c r="C57" s="112" t="n"/>
      <c r="D57" s="112" t="n">
        <v>1115</v>
      </c>
      <c r="E57" s="572">
        <f>+E56+C57-D57</f>
        <v/>
      </c>
      <c r="O57" s="563">
        <f>SUM(O54:O56)</f>
        <v/>
      </c>
      <c r="P57" s="563">
        <f>SUM(P54:P56)</f>
        <v/>
      </c>
      <c r="Q57" s="563">
        <f>SUM(Q54:Q56)</f>
        <v/>
      </c>
      <c r="R57" s="575">
        <f>S57/(Q57)</f>
        <v/>
      </c>
      <c r="S57" s="563">
        <f>SUM(S54:S56)</f>
        <v/>
      </c>
    </row>
    <row r="58">
      <c r="A58" s="156" t="n">
        <v>46093</v>
      </c>
      <c r="B58" s="112" t="inlineStr">
        <is>
          <t>归还回购-25鑫驰2B</t>
        </is>
      </c>
      <c r="C58" s="112" t="n"/>
      <c r="D58" s="112" t="n">
        <v>702</v>
      </c>
      <c r="E58" s="572">
        <f>+E57+C58-D58</f>
        <v/>
      </c>
    </row>
    <row r="59">
      <c r="B59" s="112" t="n"/>
      <c r="E59" s="563">
        <f>+E58+C59-D59</f>
        <v/>
      </c>
    </row>
    <row r="60">
      <c r="A60" s="156" t="n">
        <v>46094</v>
      </c>
      <c r="B60" s="112" t="inlineStr">
        <is>
          <t>新增1笔小回购</t>
        </is>
      </c>
      <c r="C60" s="112" t="n">
        <v>100</v>
      </c>
      <c r="D60" s="112" t="n"/>
      <c r="E60" s="572">
        <f>+E59+C60-D60</f>
        <v/>
      </c>
      <c r="F60" s="0" t="inlineStr">
        <is>
          <t>借100w，押券玮盈6B，200w，50%，3.5%，3-13~3-18，到期归还，正回购方：元康26号，逆回购方：粤财信托 吴海滨3007696781</t>
        </is>
      </c>
    </row>
    <row r="61">
      <c r="A61" s="156" t="n">
        <v>46094</v>
      </c>
      <c r="B61" s="112" t="inlineStr">
        <is>
          <t>25鑫驰1B</t>
        </is>
      </c>
      <c r="C61" s="112" t="n"/>
      <c r="D61" s="112" t="n">
        <v>122</v>
      </c>
      <c r="E61" s="572">
        <f>+E60+C61-D61</f>
        <v/>
      </c>
      <c r="F61" s="0" t="inlineStr">
        <is>
          <t>1、3/13,25鑫驰1B[146026.SZ]，120w，净价101.5，询价是：厦门信托 李丹萍 3003775644+华宝投顾马路遥3007680164  to 中信证券 林秋益3004157238。</t>
        </is>
      </c>
    </row>
    <row r="62">
      <c r="B62" s="112" t="n"/>
      <c r="E62" s="563">
        <f>+E61+C62-D62</f>
        <v/>
      </c>
      <c r="F62" s="0" t="inlineStr">
        <is>
          <t>2、3/13,25鑫驰1B[146026.SZ]，120w，净价101.503，中信证券 林秋益3004157238  to 元康盛景26号 刘靖涛3003993899</t>
        </is>
      </c>
    </row>
    <row r="63">
      <c r="A63" s="156" t="n">
        <v>46097</v>
      </c>
      <c r="B63" s="112" t="inlineStr">
        <is>
          <t>回款</t>
        </is>
      </c>
      <c r="C63" s="112" t="n">
        <v>749</v>
      </c>
      <c r="D63" s="112" t="n"/>
      <c r="E63" s="572">
        <f>+E62+C63-D63</f>
        <v/>
      </c>
    </row>
    <row r="64">
      <c r="A64" s="156" t="n">
        <v>46097</v>
      </c>
      <c r="B64" s="112" t="inlineStr">
        <is>
          <t>西南证券申购</t>
        </is>
      </c>
      <c r="C64" s="112" t="n">
        <v>500</v>
      </c>
      <c r="D64" s="112" t="n"/>
      <c r="E64" s="572">
        <f>+E63+C64-D64</f>
        <v/>
      </c>
      <c r="L64" s="158" t="n"/>
    </row>
    <row r="65">
      <c r="A65" s="156" t="n">
        <v>46097</v>
      </c>
      <c r="B65" s="112" t="inlineStr">
        <is>
          <t>五矿申购</t>
        </is>
      </c>
      <c r="C65" s="112" t="n">
        <v>120</v>
      </c>
      <c r="D65" s="112" t="n"/>
      <c r="E65" s="572">
        <f>+E64+C65-D65</f>
        <v/>
      </c>
      <c r="L65" s="158" t="n"/>
    </row>
    <row r="66">
      <c r="A66" s="156" t="n"/>
      <c r="B66" s="112" t="n"/>
      <c r="C66" s="112" t="n"/>
      <c r="D66" s="112" t="n"/>
      <c r="E66" s="572">
        <f>+E65+C66-D66</f>
        <v/>
      </c>
      <c r="L66" s="158" t="n"/>
    </row>
    <row r="67">
      <c r="A67" s="156" t="n">
        <v>46098</v>
      </c>
      <c r="B67" s="112" t="inlineStr">
        <is>
          <t>星灿5A3</t>
        </is>
      </c>
      <c r="C67" s="576">
        <f>+苏信优先级Z2501!N38</f>
        <v/>
      </c>
      <c r="D67" s="112" t="n"/>
      <c r="E67" s="572">
        <f>+E66+C67-D67</f>
        <v/>
      </c>
      <c r="F67" s="0" t="inlineStr">
        <is>
          <t>苏信2501</t>
        </is>
      </c>
      <c r="L67" s="158" t="n"/>
    </row>
    <row r="68">
      <c r="A68" s="156" t="n"/>
      <c r="B68" s="112" t="inlineStr">
        <is>
          <t>熠然5A3</t>
        </is>
      </c>
      <c r="C68" s="576">
        <f>+苏信优先级Z2501!N39</f>
        <v/>
      </c>
      <c r="D68" s="112" t="n"/>
      <c r="E68" s="572">
        <f>+E67+C68-D68</f>
        <v/>
      </c>
      <c r="F68" s="0" t="inlineStr">
        <is>
          <t>苏信2501</t>
        </is>
      </c>
      <c r="L68" s="158" t="n"/>
    </row>
    <row r="69">
      <c r="A69" s="156" t="n">
        <v>46099</v>
      </c>
      <c r="B69" s="112" t="inlineStr">
        <is>
          <t>归还回购</t>
        </is>
      </c>
      <c r="C69" s="112" t="n"/>
      <c r="D69" s="112" t="n">
        <v>101</v>
      </c>
      <c r="E69" s="572">
        <f>+E68+C69-D69</f>
        <v/>
      </c>
      <c r="L69" s="158" t="n"/>
    </row>
    <row r="70">
      <c r="A70" s="156" t="n">
        <v>46101</v>
      </c>
      <c r="B70" s="112" t="inlineStr">
        <is>
          <t>回款</t>
        </is>
      </c>
      <c r="C70" s="112" t="n">
        <v>24</v>
      </c>
      <c r="D70" s="112" t="n"/>
      <c r="E70" s="572">
        <f>+E69+C70-D70</f>
        <v/>
      </c>
      <c r="F70" s="577" t="n"/>
      <c r="L70" s="158" t="n"/>
    </row>
    <row r="71">
      <c r="A71" s="156" t="n">
        <v>46104</v>
      </c>
      <c r="B71" s="112" t="inlineStr">
        <is>
          <t>归还回购</t>
        </is>
      </c>
      <c r="C71" s="112" t="n"/>
      <c r="D71" s="112" t="n">
        <v>2955</v>
      </c>
      <c r="E71" s="572">
        <f>+E70+C71-D71</f>
        <v/>
      </c>
      <c r="L71" s="158" t="n"/>
    </row>
    <row r="72">
      <c r="A72" s="156" t="n">
        <v>46104</v>
      </c>
      <c r="B72" s="112" t="inlineStr">
        <is>
          <t>回款</t>
        </is>
      </c>
      <c r="C72" s="112" t="n">
        <v>336</v>
      </c>
      <c r="D72" s="112" t="n"/>
      <c r="E72" s="572">
        <f>+E71+C72-D72</f>
        <v/>
      </c>
      <c r="L72" s="158" t="n"/>
    </row>
    <row r="73">
      <c r="A73" s="156" t="n">
        <v>46104</v>
      </c>
      <c r="B73" s="112" t="inlineStr">
        <is>
          <t>五矿申购</t>
        </is>
      </c>
      <c r="C73" s="112" t="n">
        <v>250</v>
      </c>
      <c r="D73" s="112" t="n"/>
      <c r="E73" s="572">
        <f>+E72+C73-D73</f>
        <v/>
      </c>
      <c r="L73" s="158" t="n"/>
    </row>
    <row r="74">
      <c r="A74" s="156" t="n"/>
      <c r="B74" s="112" t="n"/>
      <c r="C74" s="112" t="n"/>
      <c r="D74" s="112" t="n"/>
      <c r="E74" s="572">
        <f>+E73+C74-D74</f>
        <v/>
      </c>
      <c r="L74" s="158" t="n"/>
    </row>
    <row r="75">
      <c r="A75" s="156" t="n">
        <v>46105</v>
      </c>
      <c r="B75" s="112" t="inlineStr">
        <is>
          <t>归还回购</t>
        </is>
      </c>
      <c r="C75" s="112" t="n"/>
      <c r="D75" s="112" t="n">
        <v>850</v>
      </c>
      <c r="E75" s="572">
        <f>+E74+C75-D75</f>
        <v/>
      </c>
      <c r="L75" s="158" t="n"/>
    </row>
    <row r="76">
      <c r="A76" s="156" t="n">
        <v>46106</v>
      </c>
      <c r="B76" s="112" t="inlineStr">
        <is>
          <t>G蔚能1科</t>
        </is>
      </c>
      <c r="C76" s="112" t="n"/>
      <c r="D76" s="112">
        <f>1000*101.707%</f>
        <v/>
      </c>
      <c r="E76" s="572">
        <f>+E75+C76-D76</f>
        <v/>
      </c>
      <c r="H76" s="564" t="n"/>
      <c r="I76" s="565" t="n"/>
    </row>
    <row r="77">
      <c r="E77" s="563">
        <f>+E76+C77-D77</f>
        <v/>
      </c>
      <c r="H77" s="564" t="n"/>
      <c r="I77" s="348" t="n"/>
    </row>
    <row r="78">
      <c r="A78" s="156" t="n">
        <v>46108</v>
      </c>
      <c r="B78" s="578" t="inlineStr">
        <is>
          <t>诚惠3B</t>
        </is>
      </c>
      <c r="C78" s="112" t="n">
        <v>1006</v>
      </c>
      <c r="D78" s="112" t="n"/>
      <c r="E78" s="572">
        <f>+E77+C78-D78</f>
        <v/>
      </c>
      <c r="F78" s="563" t="inlineStr">
        <is>
          <t>诚惠3B[266186.SH]，1000w，100.54，3月27日，元康盛景26号 刘靖涛3003993899 to 粤开证券 许逸潇2881647849</t>
        </is>
      </c>
      <c r="G78" s="563" t="inlineStr">
        <is>
          <t>诚惠3B[266186.SH]，1000w，100.545，3月27日，粤开证券 许逸潇2881647849 to 天风证券 唐德婷qt 2885078648</t>
        </is>
      </c>
      <c r="H78" s="564" t="n"/>
      <c r="I78" s="348" t="n"/>
    </row>
    <row r="79">
      <c r="A79" s="156" t="n">
        <v>46108</v>
      </c>
      <c r="B79" s="578" t="inlineStr">
        <is>
          <t>小鹏5B</t>
        </is>
      </c>
      <c r="C79" s="112" t="n">
        <v>1500</v>
      </c>
      <c r="D79" s="112" t="n"/>
      <c r="E79" s="572">
        <f>+E78+C79-D79</f>
        <v/>
      </c>
      <c r="F79" s="563" t="inlineStr">
        <is>
          <t>小鹏5B[500446.SZ]，1500w，100.202，3月27日，元康盛景26号 刘靖涛3003993899 to 粤开证券 许逸潇2881647849</t>
        </is>
      </c>
      <c r="G79" s="563" t="inlineStr">
        <is>
          <t>小鹏5B[500446.SZ]，1500w，100.207，3月27日，粤开证券 许逸潇2881647849 to 天风证券 唐德婷qt 2885078648</t>
        </is>
      </c>
      <c r="H79" s="564" t="n"/>
      <c r="I79" s="348" t="n"/>
    </row>
    <row r="80">
      <c r="A80" s="156" t="n">
        <v>46111</v>
      </c>
      <c r="B80" s="112" t="inlineStr">
        <is>
          <t>360优先B</t>
        </is>
      </c>
      <c r="C80" s="112" t="n"/>
      <c r="D80" s="112" t="n">
        <v>1900</v>
      </c>
      <c r="E80" s="572">
        <f>+E79+C80-D80</f>
        <v/>
      </c>
      <c r="F80" s="0" t="inlineStr">
        <is>
          <t>奇消22B 500577，1900w，2.8%，3月30日缴款，国联证券，元康盛景26号缴款</t>
        </is>
      </c>
      <c r="H80" s="564" t="n"/>
      <c r="I80" s="348" t="n"/>
    </row>
    <row r="81">
      <c r="A81" s="156" t="n">
        <v>46112</v>
      </c>
      <c r="B81" s="112" t="inlineStr">
        <is>
          <t>回款</t>
        </is>
      </c>
      <c r="C81" s="112" t="n">
        <v>50</v>
      </c>
      <c r="D81" s="112" t="n"/>
      <c r="E81" s="572">
        <f>+E80+C81-D81</f>
        <v/>
      </c>
      <c r="G81" s="201" t="n"/>
      <c r="H81" s="564" t="n"/>
      <c r="I81" s="348" t="n"/>
    </row>
    <row r="82">
      <c r="A82" s="156" t="n"/>
      <c r="B82" s="112" t="n"/>
      <c r="C82" s="112" t="n"/>
      <c r="D82" s="112" t="n"/>
      <c r="E82" s="572">
        <f>+E81+C82-D82</f>
        <v/>
      </c>
    </row>
    <row r="83">
      <c r="A83" s="156" t="n">
        <v>46120</v>
      </c>
      <c r="B83" s="112" t="inlineStr">
        <is>
          <t>乐信回款</t>
        </is>
      </c>
      <c r="C83" s="112" t="n">
        <v>1103</v>
      </c>
      <c r="D83" s="112" t="n"/>
      <c r="E83" s="572">
        <f>+E82+C83-D83</f>
        <v/>
      </c>
    </row>
    <row r="84">
      <c r="A84" s="156" t="n">
        <v>46120</v>
      </c>
      <c r="B84" s="112" t="inlineStr">
        <is>
          <t>赎回</t>
        </is>
      </c>
      <c r="C84" s="112" t="n"/>
      <c r="D84" s="112">
        <f>759.664103+0.601897</f>
        <v/>
      </c>
      <c r="E84" s="572">
        <f>+E83+C84-D84</f>
        <v/>
      </c>
    </row>
    <row r="85">
      <c r="A85" s="156" t="n"/>
      <c r="B85" s="112" t="n"/>
      <c r="C85" s="112" t="n"/>
      <c r="D85" s="112" t="n"/>
      <c r="E85" s="572">
        <f>+E84+C85-D85</f>
        <v/>
      </c>
      <c r="G85" s="0" t="inlineStr">
        <is>
          <t> </t>
        </is>
      </c>
    </row>
    <row r="86">
      <c r="A86" s="156" t="n"/>
      <c r="B86" s="112" t="n"/>
      <c r="C86" s="112" t="n"/>
      <c r="D86" s="112" t="n"/>
      <c r="E86" s="572">
        <f>+E85+C86-D86</f>
        <v/>
      </c>
    </row>
    <row r="87">
      <c r="A87" s="156" t="n">
        <v>46121</v>
      </c>
      <c r="B87" s="112" t="inlineStr">
        <is>
          <t>考虑归还回购</t>
        </is>
      </c>
      <c r="C87" s="112" t="n"/>
      <c r="D87" s="112" t="n">
        <v>1000</v>
      </c>
      <c r="E87" s="572">
        <f>+E86+C87-D87</f>
        <v/>
      </c>
      <c r="F87" s="0" t="inlineStr">
        <is>
          <t>诚惠1B、狮桥60A2归还</t>
        </is>
      </c>
    </row>
    <row r="88">
      <c r="A88" s="156" t="n"/>
      <c r="B88" s="112" t="n"/>
      <c r="C88" s="112" t="n"/>
      <c r="D88" s="112" t="n"/>
      <c r="E88" s="572">
        <f>+E87+C88-D88</f>
        <v/>
      </c>
    </row>
    <row r="89">
      <c r="A89" s="156" t="n"/>
      <c r="B89" s="112" t="n"/>
      <c r="C89" s="112" t="n"/>
      <c r="D89" s="112" t="n"/>
      <c r="E89" s="572">
        <f>+E88+C89-D89</f>
        <v/>
      </c>
      <c r="F89" s="0" t="inlineStr">
        <is>
          <t>给中建投</t>
        </is>
      </c>
    </row>
    <row r="90">
      <c r="A90" s="156" t="n"/>
      <c r="B90" s="112" t="n"/>
      <c r="C90" s="112" t="n"/>
      <c r="D90" s="112" t="n"/>
      <c r="E90" s="572">
        <f>+E89+C90-D90</f>
        <v/>
      </c>
      <c r="F90" s="0" t="inlineStr">
        <is>
          <t>未超1.2杠杆</t>
        </is>
      </c>
    </row>
    <row r="91">
      <c r="A91" s="156" t="n">
        <v>46122</v>
      </c>
      <c r="B91" s="112" t="inlineStr">
        <is>
          <t>管理费</t>
        </is>
      </c>
      <c r="C91" s="112" t="n"/>
      <c r="D91" s="578" t="n">
        <v>27.825586</v>
      </c>
      <c r="E91" s="572">
        <f>+E90+C91-D91</f>
        <v/>
      </c>
    </row>
    <row r="92">
      <c r="A92" s="156" t="n">
        <v>46122</v>
      </c>
      <c r="B92" s="112" t="inlineStr">
        <is>
          <t>应付税费</t>
        </is>
      </c>
      <c r="C92" s="112" t="n"/>
      <c r="D92" s="578" t="n">
        <v>38.998923</v>
      </c>
      <c r="E92" s="572">
        <f>+E91+C92-D92</f>
        <v/>
      </c>
    </row>
    <row r="93">
      <c r="A93" s="156" t="n"/>
      <c r="B93" s="112" t="n"/>
      <c r="C93" s="112" t="n"/>
      <c r="D93" s="112" t="n"/>
      <c r="E93" s="572" t="n">
        <v>1077</v>
      </c>
    </row>
    <row r="94">
      <c r="A94" s="156" t="n">
        <v>46127</v>
      </c>
      <c r="B94" s="112" t="inlineStr">
        <is>
          <t>兑付</t>
        </is>
      </c>
      <c r="C94" s="112" t="n">
        <v>280</v>
      </c>
      <c r="D94" s="112" t="n"/>
      <c r="E94" s="572">
        <f>+E93+C94-D94</f>
        <v/>
      </c>
    </row>
    <row r="95">
      <c r="A95" s="156" t="n">
        <v>46128</v>
      </c>
      <c r="B95" s="112" t="inlineStr">
        <is>
          <t>诚惠1B</t>
        </is>
      </c>
      <c r="C95" s="112" t="n">
        <v>305</v>
      </c>
      <c r="D95" s="112" t="n"/>
      <c r="E95" s="572">
        <f>+E94+C95-D95</f>
        <v/>
      </c>
      <c r="F95" s="562" t="inlineStr">
        <is>
          <t>诚惠1B[263867.SH]，300w，101.41，4月16日，元康盛景26号 刘靖涛3003993899  to 中信证券 赵恒昆3004076439</t>
        </is>
      </c>
      <c r="G95" s="562" t="inlineStr">
        <is>
          <t>诚惠1B[263867.SH]，300w，101.415，4月16日，中信证券 赵恒昆3004076439  to 粤开证券 许逸潇2881647849</t>
        </is>
      </c>
      <c r="H95" s="0" t="inlineStr">
        <is>
          <t> </t>
        </is>
      </c>
    </row>
    <row r="96">
      <c r="A96" s="156" t="n"/>
      <c r="B96" s="112" t="n"/>
      <c r="C96" s="112" t="n"/>
      <c r="D96" s="112" t="n"/>
      <c r="E96" s="572">
        <f>+E95+C96-D96</f>
        <v/>
      </c>
    </row>
    <row r="97">
      <c r="A97" s="156" t="n">
        <v>46129</v>
      </c>
      <c r="B97" s="112" t="inlineStr">
        <is>
          <t>小鹏5B</t>
        </is>
      </c>
      <c r="C97" s="112" t="n">
        <v>510</v>
      </c>
      <c r="D97" s="112" t="n"/>
      <c r="E97" s="572">
        <f>+E96+C97-D97</f>
        <v/>
      </c>
      <c r="F97" s="562" t="inlineStr">
        <is>
          <t>小鹏5B[500446.SZ]，500w，101.46，4月17日，元康盛景26号 刘靖涛3003993899  to 粤开证券 许逸潇2881647849</t>
        </is>
      </c>
      <c r="G97" s="562" t="inlineStr">
        <is>
          <t>小鹏5B[500446.SZ]，500w，101.465，4月17日，粤开证券 许逸潇2881647849  to 天风证券 李泽堃3007354220</t>
        </is>
      </c>
      <c r="H97" s="0" t="inlineStr">
        <is>
          <t> </t>
        </is>
      </c>
    </row>
    <row r="98">
      <c r="A98" s="156" t="n"/>
      <c r="B98" s="112" t="n"/>
      <c r="C98" s="112" t="n"/>
      <c r="D98" s="112" t="n"/>
      <c r="E98" s="572">
        <f>+E97+C98-D98</f>
        <v/>
      </c>
    </row>
    <row r="99">
      <c r="A99" s="156" t="n">
        <v>46133</v>
      </c>
      <c r="B99" s="112" t="inlineStr">
        <is>
          <t>五矿申购</t>
        </is>
      </c>
      <c r="C99" s="112" t="n">
        <v>150</v>
      </c>
      <c r="D99" s="112" t="n"/>
      <c r="E99" s="572">
        <f>+E98+C99-D99</f>
        <v/>
      </c>
      <c r="I99" s="579" t="n"/>
    </row>
    <row r="100">
      <c r="A100" s="156" t="n">
        <v>46134</v>
      </c>
      <c r="B100" s="112" t="inlineStr">
        <is>
          <t>毓消22B</t>
        </is>
      </c>
      <c r="C100" s="112" t="n"/>
      <c r="D100" s="112" t="n">
        <v>1000</v>
      </c>
      <c r="E100" s="572">
        <f>+E99+C100-D100</f>
        <v/>
      </c>
      <c r="F100" s="562" t="inlineStr">
        <is>
          <t>毓消22B，500693.SZ，1000w，2.8%，4月22日缴款，4月23日起息，元康盛景26号缴款</t>
        </is>
      </c>
    </row>
    <row r="101">
      <c r="A101" s="156" t="n">
        <v>46134</v>
      </c>
      <c r="B101" s="112" t="inlineStr">
        <is>
          <t>底层兑付</t>
        </is>
      </c>
      <c r="C101" s="112" t="n">
        <v>508.27</v>
      </c>
      <c r="D101" s="112" t="n"/>
      <c r="E101" s="572">
        <f>+E100+C101-D101</f>
        <v/>
      </c>
    </row>
    <row r="102">
      <c r="A102" s="156" t="n">
        <v>46134</v>
      </c>
      <c r="B102" s="112" t="inlineStr">
        <is>
          <t>德银03B归还</t>
        </is>
      </c>
      <c r="C102" s="112" t="n"/>
      <c r="D102" s="112" t="n">
        <v>350.4</v>
      </c>
      <c r="E102" s="572">
        <f>+E101+C102-D102</f>
        <v/>
      </c>
    </row>
    <row r="103">
      <c r="A103" s="156" t="n">
        <v>46134</v>
      </c>
      <c r="B103" s="112" t="inlineStr">
        <is>
          <t>新增回购</t>
        </is>
      </c>
      <c r="C103" s="112" t="n">
        <v>350</v>
      </c>
      <c r="D103" s="112" t="n"/>
      <c r="E103" s="572">
        <f>+E102+C103-D103</f>
        <v/>
      </c>
      <c r="F103" s="0" t="inlineStr">
        <is>
          <t>DY01优3</t>
        </is>
      </c>
    </row>
    <row r="104">
      <c r="A104" s="156" t="n"/>
      <c r="B104" s="112" t="n"/>
      <c r="C104" s="112" t="n"/>
      <c r="D104" s="112" t="n"/>
      <c r="E104" s="572">
        <f>+E103+C104-D104</f>
        <v/>
      </c>
    </row>
    <row r="105">
      <c r="A105" s="156" t="n">
        <v>46139</v>
      </c>
      <c r="B105" s="112" t="inlineStr">
        <is>
          <t>回款</t>
        </is>
      </c>
      <c r="C105" s="112" t="n">
        <v>38.9</v>
      </c>
      <c r="D105" s="112" t="n"/>
      <c r="E105" s="572">
        <f>+E104+C105-D105</f>
        <v/>
      </c>
    </row>
    <row r="106">
      <c r="A106" s="156" t="n">
        <v>46139</v>
      </c>
      <c r="B106" s="112" t="inlineStr">
        <is>
          <t>五矿申购</t>
        </is>
      </c>
      <c r="C106" s="112" t="n">
        <v>570</v>
      </c>
      <c r="D106" s="112" t="n"/>
      <c r="E106" s="572">
        <f>+E105+C106-D106</f>
        <v/>
      </c>
      <c r="F106" s="308" t="inlineStr">
        <is>
          <t>走加急划款</t>
        </is>
      </c>
      <c r="G106" s="308" t="inlineStr">
        <is>
          <t>下午3点前到账</t>
        </is>
      </c>
    </row>
    <row r="107">
      <c r="A107" s="286" t="n">
        <v>46139</v>
      </c>
      <c r="B107" s="274" t="inlineStr">
        <is>
          <t>新增回购-中金</t>
        </is>
      </c>
      <c r="C107" s="274" t="n">
        <v>799</v>
      </c>
      <c r="D107" s="274" t="n"/>
      <c r="E107" s="572">
        <f>+E106+C107-D107</f>
        <v/>
      </c>
      <c r="F107" s="308" t="inlineStr">
        <is>
          <t>25DC2B--周一碰价格，已谈好</t>
        </is>
      </c>
      <c r="G107" s="308" t="n"/>
      <c r="H107" s="308" t="inlineStr">
        <is>
          <t>这个交易要求尽量在下午2点前完成</t>
        </is>
      </c>
      <c r="I107" s="0" t="n"/>
    </row>
    <row r="108">
      <c r="A108" s="156" t="n"/>
      <c r="B108" s="112" t="n"/>
      <c r="C108" s="112" t="n"/>
      <c r="D108" s="112" t="n"/>
      <c r="E108" s="572">
        <f>+E107+C108-D108</f>
        <v/>
      </c>
      <c r="I108" s="0" t="n"/>
    </row>
    <row r="109">
      <c r="A109" s="156" t="n">
        <v>46139</v>
      </c>
      <c r="B109" s="112" t="inlineStr">
        <is>
          <t>归还回购-小鹏4B</t>
        </is>
      </c>
      <c r="C109" s="112" t="n"/>
      <c r="D109" s="112" t="n">
        <v>1400.78</v>
      </c>
      <c r="E109" s="572">
        <f>+E108+C109-D109</f>
        <v/>
      </c>
      <c r="F109" s="0" t="inlineStr">
        <is>
          <t>已沟通</t>
        </is>
      </c>
      <c r="I109" s="0" t="n"/>
    </row>
    <row r="110">
      <c r="A110" s="252" t="n">
        <v>46139</v>
      </c>
      <c r="B110" s="253" t="inlineStr">
        <is>
          <t>德银03B</t>
        </is>
      </c>
      <c r="C110" s="120" t="n">
        <v>600</v>
      </c>
      <c r="D110" s="253" t="n"/>
      <c r="E110" s="580">
        <f>+E109+C110-D110</f>
        <v/>
      </c>
      <c r="F110" s="473" t="inlineStr">
        <is>
          <t>德银03B[263516.SH]，600w，100.000，4月27日，元康盛景26号 刘靖涛3003993899 to 粤开证券 许逸潇2881647849</t>
        </is>
      </c>
      <c r="G110" s="308" t="inlineStr">
        <is>
          <t>这个交易要求尽量在下午2点前完成</t>
        </is>
      </c>
      <c r="I110" s="0" t="n"/>
    </row>
    <row r="111">
      <c r="A111" s="252" t="n">
        <v>46139</v>
      </c>
      <c r="B111" s="253" t="inlineStr">
        <is>
          <t>熠安02A3</t>
        </is>
      </c>
      <c r="C111" s="120" t="n">
        <v>200</v>
      </c>
      <c r="D111" s="253" t="n"/>
      <c r="E111" s="580">
        <f>+E110+C111-D111</f>
        <v/>
      </c>
      <c r="F111" s="473" t="inlineStr">
        <is>
          <t>熠安02A3[144651.SZ]，380w，52.5218，4月27日，元康盛景26号 刘靖涛3003993899 to 粤开证券 许逸潇2881647849</t>
        </is>
      </c>
      <c r="G111" s="308" t="inlineStr">
        <is>
          <t>这个交易要求尽量在下午2点前完成</t>
        </is>
      </c>
      <c r="I111" s="0" t="n"/>
    </row>
    <row r="112">
      <c r="A112" s="156" t="n">
        <v>46139</v>
      </c>
      <c r="B112" s="112" t="inlineStr">
        <is>
          <t>国金保理国金02A</t>
        </is>
      </c>
      <c r="C112" s="112" t="n"/>
      <c r="D112" s="112" t="n">
        <v>2000</v>
      </c>
      <c r="E112" s="572">
        <f>+E111+C112-D112</f>
        <v/>
      </c>
      <c r="F112" s="562" t="inlineStr">
        <is>
          <t>已发</t>
        </is>
      </c>
      <c r="G112" s="0" t="inlineStr">
        <is>
          <t>优B优先</t>
        </is>
      </c>
      <c r="H112" s="4" t="n"/>
      <c r="I112" s="0" t="n"/>
      <c r="J112" s="0" t="n"/>
    </row>
    <row r="113">
      <c r="A113" s="156" t="n">
        <v>46139</v>
      </c>
      <c r="B113" s="112" t="inlineStr">
        <is>
          <t>国金保理国金02B</t>
        </is>
      </c>
      <c r="C113" s="112" t="n"/>
      <c r="D113" s="112" t="n">
        <v>500</v>
      </c>
      <c r="E113" s="572">
        <f>+E112+C113-D113</f>
        <v/>
      </c>
      <c r="F113" s="562" t="inlineStr">
        <is>
          <t>已发</t>
        </is>
      </c>
    </row>
    <row r="114">
      <c r="A114" s="156" t="n">
        <v>46139</v>
      </c>
      <c r="B114" s="112" t="inlineStr">
        <is>
          <t>小鹏4B解冻分配款</t>
        </is>
      </c>
      <c r="C114" s="112" t="n">
        <v>32.04</v>
      </c>
      <c r="D114" s="112" t="n"/>
      <c r="E114" s="572">
        <f>+E113+C114-D114</f>
        <v/>
      </c>
    </row>
    <row r="115">
      <c r="A115" s="156" t="n">
        <v>46140</v>
      </c>
      <c r="B115" s="112" t="inlineStr">
        <is>
          <t>回款</t>
        </is>
      </c>
      <c r="C115" s="112" t="n">
        <v>31</v>
      </c>
      <c r="D115" s="112" t="n"/>
      <c r="E115" s="572">
        <f>+E114+C115-D115</f>
        <v/>
      </c>
    </row>
    <row r="116">
      <c r="A116" s="156" t="n">
        <v>46140</v>
      </c>
      <c r="B116" s="112" t="inlineStr">
        <is>
          <t>小鹏4B</t>
        </is>
      </c>
      <c r="C116" s="112" t="n">
        <v>607</v>
      </c>
      <c r="D116" s="112" t="n"/>
      <c r="E116" s="572">
        <f>+E115+C116-D116</f>
        <v/>
      </c>
      <c r="F116" s="562" t="inlineStr">
        <is>
          <t>小鹏4B[146861.SZ]，600w，100.9112，4月28日，元康盛景26号 刘靖涛3003993899 to 粤开证券 许逸潇2881647849</t>
        </is>
      </c>
    </row>
    <row r="117">
      <c r="A117" s="156" t="n">
        <v>46142</v>
      </c>
      <c r="B117" s="112" t="inlineStr">
        <is>
          <t>徽商期货</t>
        </is>
      </c>
      <c r="C117" s="112" t="n">
        <v>206</v>
      </c>
      <c r="D117" s="112" t="n"/>
      <c r="E117" s="572">
        <f>+E116+C117-D117</f>
        <v/>
      </c>
    </row>
    <row r="118">
      <c r="A118" s="156" t="n">
        <v>46148</v>
      </c>
      <c r="B118" s="112" t="inlineStr">
        <is>
          <t>小鹏4B兑付</t>
        </is>
      </c>
      <c r="C118" s="112" t="n">
        <v>4.4</v>
      </c>
      <c r="D118" s="112" t="n"/>
      <c r="E118" s="572">
        <f>+E117+C118-D118</f>
        <v/>
      </c>
    </row>
    <row r="119">
      <c r="A119" s="156" t="n">
        <v>46148</v>
      </c>
      <c r="B119" s="112" t="inlineStr">
        <is>
          <t>乐信13C回款</t>
        </is>
      </c>
      <c r="C119" s="112" t="n">
        <v>12.8</v>
      </c>
      <c r="D119" s="112" t="n"/>
      <c r="E119" s="572">
        <f>+E118+C119-D119</f>
        <v/>
      </c>
    </row>
    <row r="120">
      <c r="A120" s="156" t="n">
        <v>46150</v>
      </c>
      <c r="B120" s="112" t="inlineStr">
        <is>
          <t>新增回购</t>
        </is>
      </c>
      <c r="C120" s="112" t="n">
        <v>300</v>
      </c>
      <c r="D120" s="112" t="n"/>
      <c r="E120" s="572">
        <f>+E119+C120-D120</f>
        <v/>
      </c>
    </row>
    <row r="121">
      <c r="A121" s="156" t="n">
        <v>46150</v>
      </c>
      <c r="B121" s="112" t="inlineStr">
        <is>
          <t>兑付五矿赎回</t>
        </is>
      </c>
      <c r="C121" s="112" t="n"/>
      <c r="D121" s="572" t="n">
        <v>1195.7</v>
      </c>
      <c r="E121" s="572" t="n">
        <v>132</v>
      </c>
      <c r="I121" s="0" t="n"/>
    </row>
    <row r="122">
      <c r="A122" s="156" t="n">
        <v>46157</v>
      </c>
      <c r="B122" s="112" t="inlineStr">
        <is>
          <t>平安普惠回款</t>
        </is>
      </c>
      <c r="C122" s="112" t="n">
        <v>203</v>
      </c>
      <c r="D122" s="572" t="n"/>
      <c r="E122" s="572">
        <f>+E121+C122-D122</f>
        <v/>
      </c>
      <c r="I122" s="0" t="n"/>
    </row>
    <row r="123">
      <c r="A123" s="156" t="n">
        <v>46160</v>
      </c>
      <c r="B123" s="112" t="inlineStr">
        <is>
          <t>五矿申购</t>
        </is>
      </c>
      <c r="C123" s="112" t="n">
        <v>450</v>
      </c>
      <c r="D123" s="572" t="n"/>
      <c r="E123" s="572">
        <f>+E122+C123-D123</f>
        <v/>
      </c>
      <c r="F123" s="112" t="inlineStr">
        <is>
          <t>加急划款</t>
        </is>
      </c>
      <c r="I123" s="0" t="n"/>
    </row>
    <row r="124">
      <c r="A124" s="156" t="n">
        <v>46160</v>
      </c>
      <c r="B124" s="112" t="inlineStr">
        <is>
          <t>新增回购</t>
        </is>
      </c>
      <c r="C124" s="112" t="n">
        <v>250</v>
      </c>
      <c r="D124" s="572" t="n"/>
      <c r="E124" s="572">
        <f>+E123+C124-D124</f>
        <v/>
      </c>
      <c r="F124" s="112" t="n"/>
      <c r="I124" s="0" t="n"/>
    </row>
    <row r="125">
      <c r="A125" s="156" t="n">
        <v>46160</v>
      </c>
      <c r="B125" s="112" t="inlineStr">
        <is>
          <t>国健租赁优先B</t>
        </is>
      </c>
      <c r="C125" s="112" t="n"/>
      <c r="D125" s="112" t="n">
        <v>1000</v>
      </c>
      <c r="E125" s="572">
        <f>+E124+C125-D125</f>
        <v/>
      </c>
      <c r="F125" s="112" t="inlineStr">
        <is>
          <t>5/18缴款，5/19起息，国健11B，268605.SH，1000w，3%，元康盛景26号</t>
        </is>
      </c>
    </row>
    <row r="126">
      <c r="E126" s="563">
        <f>+E125+C126-D126</f>
        <v/>
      </c>
    </row>
    <row r="127">
      <c r="A127" s="445" t="n">
        <v>46161</v>
      </c>
      <c r="B127" s="122" t="inlineStr">
        <is>
          <t>西南证券申购</t>
        </is>
      </c>
      <c r="C127" s="122" t="n">
        <v>4000</v>
      </c>
      <c r="D127" s="122" t="n"/>
      <c r="E127" s="581">
        <f>+E126+C127-D127</f>
        <v/>
      </c>
      <c r="F127" s="122" t="inlineStr">
        <is>
          <t>加急划款</t>
        </is>
      </c>
    </row>
    <row r="128">
      <c r="A128" s="4" t="n">
        <v>46161</v>
      </c>
      <c r="B128" s="0" t="inlineStr">
        <is>
          <t>鑫驰5B</t>
        </is>
      </c>
      <c r="D128" s="0" t="n">
        <v>2000</v>
      </c>
      <c r="E128" s="563">
        <f>+E127+C128-D128</f>
        <v/>
      </c>
      <c r="F128" s="562" t="inlineStr">
        <is>
          <t>5/19，鑫驰5B【500701.SZ】，2000w，净价100，渣打证券 to 元康盛景26号</t>
        </is>
      </c>
    </row>
    <row r="129">
      <c r="A129" s="4" t="n">
        <v>46161</v>
      </c>
      <c r="B129" s="0" t="inlineStr">
        <is>
          <t>国金</t>
        </is>
      </c>
      <c r="D129" s="0" t="n">
        <v>900</v>
      </c>
      <c r="E129" s="563">
        <f>+E128+C129-D129</f>
        <v/>
      </c>
      <c r="F129" s="562" t="inlineStr">
        <is>
          <t>5/19，国金02A【267970.SH】，900w，净价100，渣打证券 to 元康盛景26号</t>
        </is>
      </c>
    </row>
    <row r="130">
      <c r="E130" s="563">
        <f>+E129+C130-D130</f>
        <v/>
      </c>
    </row>
    <row r="131">
      <c r="E131" s="563">
        <f>+E130+C131-D131</f>
        <v/>
      </c>
    </row>
    <row r="132">
      <c r="A132" s="4" t="n">
        <v>46167</v>
      </c>
      <c r="B132" s="0" t="inlineStr">
        <is>
          <t>归还回购</t>
        </is>
      </c>
      <c r="D132" s="0" t="n">
        <v>250</v>
      </c>
      <c r="E132" s="563">
        <f>+E131+C132-D132</f>
        <v/>
      </c>
    </row>
    <row r="133">
      <c r="A133" s="4" t="n">
        <v>46167</v>
      </c>
      <c r="B133" s="0" t="inlineStr">
        <is>
          <t>奇消22B</t>
        </is>
      </c>
      <c r="C133" s="0" t="n">
        <v>1205</v>
      </c>
      <c r="E133" s="563">
        <f>+E132+C133-D133</f>
        <v/>
      </c>
      <c r="F133" s="0" t="inlineStr">
        <is>
          <t>给中建投</t>
        </is>
      </c>
    </row>
    <row r="134">
      <c r="E134" s="563">
        <f>+E133+C134-D134</f>
        <v/>
      </c>
    </row>
    <row r="135">
      <c r="E135" s="563">
        <f>+E134+C135-D135</f>
        <v/>
      </c>
    </row>
    <row r="136">
      <c r="E136" s="563">
        <f>+E135+C136-D136</f>
        <v/>
      </c>
    </row>
    <row r="137">
      <c r="E137" s="563">
        <f>+E136+C137-D137</f>
        <v/>
      </c>
    </row>
    <row r="138">
      <c r="E138" s="563">
        <f>+E137+C138-D138</f>
        <v/>
      </c>
    </row>
    <row r="139">
      <c r="E139" s="563">
        <f>+E138+C139-D139</f>
        <v/>
      </c>
    </row>
    <row r="140">
      <c r="A140" s="4" t="inlineStr">
        <is>
          <t>5月底</t>
        </is>
      </c>
      <c r="B140" s="0" t="inlineStr">
        <is>
          <t>渣打接蔚能B</t>
        </is>
      </c>
      <c r="D140" s="0" t="n">
        <v>2500</v>
      </c>
      <c r="E140" s="563">
        <f>+E139+C140-D140</f>
        <v/>
      </c>
      <c r="G140" s="0" t="inlineStr">
        <is>
          <t>5000W给苏信或建投</t>
        </is>
      </c>
    </row>
    <row r="141">
      <c r="E141" s="563">
        <f>+E140+C141-D141</f>
        <v/>
      </c>
    </row>
    <row r="142">
      <c r="E142" s="563">
        <f>+E141+C142-D142</f>
        <v/>
      </c>
    </row>
    <row r="143">
      <c r="E143" s="563">
        <f>+E142+C143-D143</f>
        <v/>
      </c>
    </row>
    <row r="144">
      <c r="E144" s="563">
        <f>+E143+C144-D144</f>
        <v/>
      </c>
    </row>
    <row r="145">
      <c r="E145" s="563">
        <f>+E144+C145-D145</f>
        <v/>
      </c>
    </row>
    <row r="146">
      <c r="E146" s="563">
        <f>+E145+C146-D146</f>
        <v/>
      </c>
    </row>
  </sheetData>
  <conditionalFormatting sqref="E1:E1048576">
    <cfRule type="cellIs" priority="1" operator="lessThan" dxfId="0">
      <formula>0</formula>
    </cfRule>
  </conditionalFormatting>
  <pageMargins left="0.7" right="0.7" top="0.75" bottom="0.75" header="0.3" footer="0.3"/>
</worksheet>
</file>

<file path=xl/worksheets/sheet5.xml><?xml version="1.0" encoding="utf-8"?>
<worksheet xmlns="http://schemas.openxmlformats.org/spreadsheetml/2006/main">
  <sheetPr codeName="Sheet4">
    <outlinePr summaryBelow="1" summaryRight="1"/>
    <pageSetUpPr/>
  </sheetPr>
  <dimension ref="A1:V304"/>
  <sheetViews>
    <sheetView zoomScaleNormal="100" workbookViewId="0">
      <pane ySplit="2" topLeftCell="A248" activePane="bottomLeft" state="frozen"/>
      <selection pane="bottomLeft" activeCell="D272" sqref="D272"/>
    </sheetView>
  </sheetViews>
  <sheetFormatPr baseColWidth="8" defaultRowHeight="16.5"/>
  <cols>
    <col width="10" bestFit="1" customWidth="1" style="4" min="1" max="1"/>
    <col width="15.125" customWidth="1" style="326" min="2" max="2"/>
    <col width="11.625" customWidth="1" style="326" min="3" max="3"/>
    <col width="10.625" customWidth="1" style="326" min="4" max="4"/>
    <col width="8.75" bestFit="1" customWidth="1" style="563" min="5" max="5"/>
    <col width="9" customWidth="1" style="326" min="7" max="7"/>
    <col width="14" bestFit="1" customWidth="1" style="326" min="8" max="8"/>
    <col width="9.625" customWidth="1" style="564" min="9" max="9"/>
    <col width="17.375" bestFit="1" customWidth="1" style="565" min="10" max="10"/>
    <col width="14.75" bestFit="1" customWidth="1" style="565" min="11" max="11"/>
    <col width="10.75" bestFit="1" customWidth="1" style="564" min="12" max="12"/>
    <col width="11.125" bestFit="1" customWidth="1" style="326" min="13" max="13"/>
    <col width="13.375" bestFit="1" customWidth="1" style="326" min="14" max="14"/>
    <col width="11.125" bestFit="1" customWidth="1" style="326" min="15" max="15"/>
    <col width="10.75" bestFit="1" customWidth="1" style="326" min="16" max="16"/>
    <col width="11.25" customWidth="1" style="326" min="17" max="17"/>
    <col width="10.875" customWidth="1" style="326" min="18" max="18"/>
    <col width="11.125" bestFit="1" customWidth="1" style="326" min="20" max="20"/>
  </cols>
  <sheetData>
    <row r="1" ht="14.1" customHeight="1" s="326">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v>97</v>
      </c>
    </row>
    <row r="4">
      <c r="A4" s="110" t="n">
        <v>46031</v>
      </c>
      <c r="B4" s="115" t="inlineStr">
        <is>
          <t>新增申购</t>
        </is>
      </c>
      <c r="C4" s="112" t="n">
        <v>500</v>
      </c>
      <c r="D4" s="112" t="n"/>
      <c r="E4" s="580">
        <f>E3+C4-D4</f>
        <v/>
      </c>
    </row>
    <row r="5">
      <c r="A5" s="112" t="n"/>
      <c r="B5" s="115" t="n"/>
      <c r="C5" s="112" t="n"/>
      <c r="D5" s="112" t="n"/>
      <c r="E5" s="580" t="n">
        <v>579</v>
      </c>
    </row>
    <row r="6">
      <c r="A6" s="110" t="n">
        <v>46034</v>
      </c>
      <c r="B6" s="112" t="inlineStr">
        <is>
          <t>铁建051C</t>
        </is>
      </c>
      <c r="C6" s="112" t="n"/>
      <c r="D6" s="582">
        <f>365*1.11025</f>
        <v/>
      </c>
      <c r="E6" s="580">
        <f>E5+C6-D6</f>
        <v/>
      </c>
      <c r="F6" s="0" t="inlineStr">
        <is>
          <t>铁建051C (199768.SH)，365w，111.025，1月12日，方田远见2号 Z06704 （方田资本陈兴宇1519091045 ）to 元康盛景28号 刘靖涛，约定号：592</t>
        </is>
      </c>
    </row>
    <row r="7">
      <c r="A7" s="110" t="n">
        <v>46035</v>
      </c>
      <c r="B7" s="112" t="inlineStr">
        <is>
          <t>五矿申购</t>
        </is>
      </c>
      <c r="C7" s="112" t="n">
        <v>450</v>
      </c>
      <c r="D7" s="582" t="n"/>
      <c r="E7" s="580">
        <f>E6+C7-D7</f>
        <v/>
      </c>
    </row>
    <row r="8">
      <c r="A8" s="110" t="n">
        <v>46035</v>
      </c>
      <c r="B8" s="112" t="inlineStr">
        <is>
          <t>铁建058C</t>
        </is>
      </c>
      <c r="C8" s="112" t="n"/>
      <c r="D8" s="582">
        <f>279*1.09225</f>
        <v/>
      </c>
      <c r="E8" s="580">
        <f>E7+C8-D8</f>
        <v/>
      </c>
      <c r="F8" s="0" t="inlineStr">
        <is>
          <t>铁建058C[260655.SH]，279w，109.225,1月13日，方田远见9号 to 元康盛景28号 刘靖涛</t>
        </is>
      </c>
    </row>
    <row r="9">
      <c r="A9" s="110" t="n">
        <v>46035</v>
      </c>
      <c r="B9" s="112" t="inlineStr">
        <is>
          <t>宝冶兑付</t>
        </is>
      </c>
      <c r="C9" s="112" t="n">
        <v>50</v>
      </c>
      <c r="D9" s="112" t="n"/>
      <c r="E9" s="580">
        <f>E8+C9-D9</f>
        <v/>
      </c>
    </row>
    <row r="10">
      <c r="A10" s="110" t="n">
        <v>46037</v>
      </c>
      <c r="B10" s="112" t="inlineStr">
        <is>
          <t>回款</t>
        </is>
      </c>
      <c r="C10" s="112" t="n">
        <v>319</v>
      </c>
      <c r="D10" s="112" t="n"/>
      <c r="E10" s="580">
        <f>E9+C10-D10</f>
        <v/>
      </c>
    </row>
    <row r="11">
      <c r="A11" s="110" t="n">
        <v>46038</v>
      </c>
      <c r="B11" s="112" t="inlineStr">
        <is>
          <t>付管理费</t>
        </is>
      </c>
      <c r="C11" s="112" t="n"/>
      <c r="D11" s="112" t="n">
        <v>54</v>
      </c>
      <c r="E11" s="580">
        <f>E10+C11-D11</f>
        <v/>
      </c>
    </row>
    <row r="12">
      <c r="A12" s="110" t="n">
        <v>46038</v>
      </c>
      <c r="B12" s="112" t="inlineStr">
        <is>
          <t>新增申购-爱建</t>
        </is>
      </c>
      <c r="C12" s="112" t="n">
        <v>300</v>
      </c>
      <c r="D12" s="112" t="n"/>
      <c r="E12" s="580">
        <f>E11+C12-D12</f>
        <v/>
      </c>
    </row>
    <row r="13">
      <c r="A13" s="110" t="n"/>
      <c r="B13" s="112" t="n"/>
      <c r="C13" s="112" t="n"/>
      <c r="D13" s="112" t="n"/>
      <c r="E13" s="580">
        <f>E12+C13-D13</f>
        <v/>
      </c>
    </row>
    <row r="14">
      <c r="A14" s="110" t="n">
        <v>46041</v>
      </c>
      <c r="B14" s="112" t="inlineStr">
        <is>
          <t>支付增值税</t>
        </is>
      </c>
      <c r="C14" s="112" t="n"/>
      <c r="D14" s="112" t="n">
        <v>17.7</v>
      </c>
      <c r="E14" s="580">
        <f>E13+C14-D14</f>
        <v/>
      </c>
    </row>
    <row r="15">
      <c r="A15" s="110" t="n">
        <v>46041</v>
      </c>
      <c r="B15" s="115" t="inlineStr">
        <is>
          <t>卖出给苏信</t>
        </is>
      </c>
      <c r="C15" s="112" t="n"/>
      <c r="D15" s="112" t="n"/>
      <c r="E15" s="580">
        <f>E14+C15-D15</f>
        <v/>
      </c>
      <c r="F15" s="565" t="inlineStr">
        <is>
          <t>启悦15次，146285.SZ,500w，全价103.606,1月19日，元康28号to 扬讯</t>
        </is>
      </c>
    </row>
    <row r="16">
      <c r="A16" s="112" t="n"/>
      <c r="B16" s="202" t="inlineStr">
        <is>
          <t>启悦16次</t>
        </is>
      </c>
      <c r="C16" s="583" t="n">
        <v>308.067</v>
      </c>
      <c r="D16" s="224" t="n"/>
      <c r="E16" s="580">
        <f>E15+C16-D16</f>
        <v/>
      </c>
      <c r="F16" s="565" t="inlineStr">
        <is>
          <t>启悦16次,146761.SZ,300w,全价102.679，1月19日，元康28号 to 扬讯</t>
        </is>
      </c>
    </row>
    <row r="17">
      <c r="A17" s="112" t="n"/>
      <c r="B17" s="203" t="inlineStr">
        <is>
          <t>熹焱03A3</t>
        </is>
      </c>
      <c r="C17" s="583" t="n">
        <v>385.9478767123288</v>
      </c>
      <c r="D17" s="224" t="n"/>
      <c r="E17" s="580">
        <f>E16+C17-D17</f>
        <v/>
      </c>
      <c r="F17" s="565" t="inlineStr">
        <is>
          <t>熹焱03A3,144237.SZ,1000w,净价38.55，1月19日，元康28号 to 扬讯</t>
        </is>
      </c>
    </row>
    <row r="18">
      <c r="A18" s="112" t="n"/>
      <c r="B18" s="203" t="inlineStr">
        <is>
          <t>熹焱07A3</t>
        </is>
      </c>
      <c r="C18" s="583" t="n">
        <v>1864.342031712329</v>
      </c>
      <c r="D18" s="224" t="n"/>
      <c r="E18" s="580">
        <f>E17+C18-D18</f>
        <v/>
      </c>
      <c r="F18" s="565" t="inlineStr">
        <is>
          <t>熹焱07A3,144671.SZ,2310w,净价80.65，1月19日，元康28号 to 扬讯</t>
        </is>
      </c>
    </row>
    <row r="19">
      <c r="A19" s="112" t="n"/>
      <c r="B19" s="204" t="inlineStr">
        <is>
          <t>启悦15次</t>
        </is>
      </c>
      <c r="C19" s="112" t="n">
        <v>518.08</v>
      </c>
      <c r="D19" s="224" t="n"/>
      <c r="E19" s="580">
        <f>E18+C19-D19</f>
        <v/>
      </c>
    </row>
    <row r="20">
      <c r="A20" s="112" t="n"/>
      <c r="B20" s="112" t="n"/>
      <c r="C20" s="112" t="n"/>
      <c r="D20" s="112" t="n"/>
      <c r="E20" s="580">
        <f>E19+C20-D20</f>
        <v/>
      </c>
    </row>
    <row r="21">
      <c r="A21" s="110" t="n">
        <v>46041</v>
      </c>
      <c r="B21" s="115" t="inlineStr">
        <is>
          <t>归还回购</t>
        </is>
      </c>
      <c r="C21" s="112" t="n"/>
      <c r="D21" s="112" t="n">
        <v>1762</v>
      </c>
      <c r="E21" s="580">
        <f>E20+C21-D21</f>
        <v/>
      </c>
      <c r="F21" s="0" t="inlineStr">
        <is>
          <t>熠安02A3归还回购</t>
        </is>
      </c>
    </row>
    <row r="22">
      <c r="A22" s="110" t="n">
        <v>46041</v>
      </c>
      <c r="B22" s="112" t="inlineStr">
        <is>
          <t>释放回款</t>
        </is>
      </c>
      <c r="C22" s="112" t="n">
        <v>189</v>
      </c>
      <c r="D22" s="112" t="n"/>
      <c r="E22" s="580">
        <f>E21+C22-D22</f>
        <v/>
      </c>
      <c r="H22" s="169" t="n"/>
    </row>
    <row r="23">
      <c r="A23" s="110" t="n">
        <v>46041</v>
      </c>
      <c r="B23" s="112" t="inlineStr">
        <is>
          <t>云信5美好3次</t>
        </is>
      </c>
      <c r="C23" s="112" t="n"/>
      <c r="D23" s="112">
        <f>1500*1.07743</f>
        <v/>
      </c>
      <c r="E23" s="580">
        <f>E22+C23-D23</f>
        <v/>
      </c>
      <c r="F23" s="0" t="inlineStr">
        <is>
          <t>5美好3次[263313.SH]，1500w面值，107.743,1月19日，云南信托QT3004414706  to 元康盛景28号 刘靖涛qt3003993899</t>
        </is>
      </c>
      <c r="H23" s="169" t="n"/>
    </row>
    <row r="24">
      <c r="A24" s="110" t="n">
        <v>46041</v>
      </c>
      <c r="B24" s="112" t="inlineStr">
        <is>
          <t>归还回购</t>
        </is>
      </c>
      <c r="C24" s="112" t="n"/>
      <c r="D24" s="112" t="n">
        <v>498</v>
      </c>
      <c r="E24" s="580" t="n">
        <v>298</v>
      </c>
      <c r="H24" s="169" t="n"/>
    </row>
    <row r="25">
      <c r="A25" s="110" t="n">
        <v>46043</v>
      </c>
      <c r="B25" s="112" t="inlineStr">
        <is>
          <t>G铁建82C</t>
        </is>
      </c>
      <c r="C25" s="112">
        <f>1960*1.01973</f>
        <v/>
      </c>
      <c r="D25" s="112" t="n"/>
      <c r="E25" s="580">
        <f>E24+C25-D25</f>
        <v/>
      </c>
      <c r="F25" s="0" t="inlineStr">
        <is>
          <t>G铁建82C[266500.SH]，1960w，101.973，1月21日，元康盛景28号 Z06308 to xxxx</t>
        </is>
      </c>
      <c r="H25" s="169" t="n"/>
    </row>
    <row r="26">
      <c r="A26" s="110" t="n">
        <v>46043</v>
      </c>
      <c r="B26" s="112" t="inlineStr">
        <is>
          <t>京诚153B回款</t>
        </is>
      </c>
      <c r="C26" s="112" t="n">
        <v>1015</v>
      </c>
      <c r="D26" s="112" t="n"/>
      <c r="E26" s="580">
        <f>E25+C26-D26</f>
        <v/>
      </c>
      <c r="H26" s="169" t="n"/>
    </row>
    <row r="27">
      <c r="A27" s="110" t="n">
        <v>46043</v>
      </c>
      <c r="B27" s="112" t="inlineStr">
        <is>
          <t>归还回购-铁建</t>
        </is>
      </c>
      <c r="C27" s="112" t="n"/>
      <c r="D27" s="112" t="n">
        <v>3206</v>
      </c>
      <c r="E27" s="580">
        <f>E26+C27-D27</f>
        <v/>
      </c>
      <c r="H27" s="169" t="n"/>
    </row>
    <row r="28">
      <c r="A28" s="110" t="n">
        <v>46044</v>
      </c>
      <c r="B28" s="112" t="inlineStr">
        <is>
          <t>回购利息</t>
        </is>
      </c>
      <c r="C28" s="112" t="n"/>
      <c r="D28" s="112" t="n">
        <v>8</v>
      </c>
      <c r="E28" s="580">
        <f>E27+C28-D28</f>
        <v/>
      </c>
      <c r="H28" s="169" t="n"/>
    </row>
    <row r="29">
      <c r="A29" s="110" t="n">
        <v>46044</v>
      </c>
      <c r="B29" s="112" t="inlineStr">
        <is>
          <t>底层回款</t>
        </is>
      </c>
      <c r="C29" s="112" t="n">
        <v>263</v>
      </c>
      <c r="D29" s="112" t="n"/>
      <c r="E29" s="580">
        <f>E28+C29-D29</f>
        <v/>
      </c>
      <c r="H29" s="169" t="n"/>
    </row>
    <row r="30">
      <c r="A30" s="110" t="n">
        <v>46044</v>
      </c>
      <c r="B30" s="112" t="inlineStr">
        <is>
          <t>潍坊保函</t>
        </is>
      </c>
      <c r="C30" s="112" t="n"/>
      <c r="D30" s="112" t="n">
        <v>100</v>
      </c>
      <c r="E30" s="580">
        <f>E29+C30-D30</f>
        <v/>
      </c>
      <c r="F30" s="0" t="inlineStr">
        <is>
          <t>已发--“26潍信2C”：500363，100w.6.5%预期，1-22一级缴款，元康盛景28号</t>
        </is>
      </c>
      <c r="H30" s="169" t="n"/>
    </row>
    <row r="31">
      <c r="A31" s="117" t="n"/>
      <c r="E31" s="580">
        <f>E30+C31-D31</f>
        <v/>
      </c>
      <c r="H31" s="169" t="n"/>
    </row>
    <row r="32">
      <c r="A32" s="110" t="n">
        <v>46044</v>
      </c>
      <c r="B32" s="112" t="inlineStr">
        <is>
          <t>增加回购</t>
        </is>
      </c>
      <c r="C32" s="112" t="n">
        <v>2050</v>
      </c>
      <c r="D32" s="112" t="n"/>
      <c r="E32" s="580">
        <f>E31+C32-D32</f>
        <v/>
      </c>
      <c r="F32" s="112" t="inlineStr">
        <is>
          <t>押券熠然03A3，2250*60%=1350；盛煜014D，1000*70%=700</t>
        </is>
      </c>
      <c r="G32" s="112" t="n"/>
      <c r="H32" s="169" t="n"/>
    </row>
    <row r="33">
      <c r="A33" s="110" t="n">
        <v>46045</v>
      </c>
      <c r="B33" s="112" t="inlineStr">
        <is>
          <t>4美意6次</t>
        </is>
      </c>
      <c r="C33" s="112" t="n"/>
      <c r="D33" s="112">
        <f>470*1.08874</f>
        <v/>
      </c>
      <c r="E33" s="580">
        <f>E32+C33-D33</f>
        <v/>
      </c>
      <c r="F33" s="218" t="inlineStr">
        <is>
          <t>4美意6次 (262764.SH)，470w，全价108.874，2026-1-23，国泰海通 樊文娟 to 元康盛景28号 刘靖涛</t>
        </is>
      </c>
      <c r="H33" s="169" t="n"/>
    </row>
    <row r="34">
      <c r="A34" s="110" t="n">
        <v>46045</v>
      </c>
      <c r="B34" s="112" t="inlineStr">
        <is>
          <t>5美意3次</t>
        </is>
      </c>
      <c r="C34" s="112" t="n"/>
      <c r="D34" s="112">
        <f>350*1.06951</f>
        <v/>
      </c>
      <c r="E34" s="580">
        <f>E33+C34-D34</f>
        <v/>
      </c>
      <c r="F34" s="112" t="inlineStr">
        <is>
          <t>5美意3次[263710.SH] ,350w，全价106.951，2026-1-23，国泰海通 樊文娟 to 元康盛景28号 刘靖涛</t>
        </is>
      </c>
      <c r="H34" s="169" t="n"/>
    </row>
    <row r="35">
      <c r="A35" s="110" t="n"/>
      <c r="B35" s="112" t="n"/>
      <c r="C35" s="112" t="n"/>
      <c r="D35" s="112" t="n"/>
      <c r="E35" s="580" t="n">
        <v>1427</v>
      </c>
      <c r="F35" s="112" t="n"/>
      <c r="G35" s="112" t="n"/>
      <c r="H35" s="169" t="n"/>
    </row>
    <row r="36">
      <c r="A36" s="110" t="n">
        <v>46048</v>
      </c>
      <c r="B36" s="112" t="inlineStr">
        <is>
          <t>广汽3次</t>
        </is>
      </c>
      <c r="C36" s="112" t="n"/>
      <c r="D36" s="112">
        <f>400*1.22349</f>
        <v/>
      </c>
      <c r="E36" s="580">
        <f>E35+C36-D36</f>
        <v/>
      </c>
      <c r="F36" s="217" t="inlineStr">
        <is>
          <t>广汽3次[180987.SH]，400w，122.349,1月26日，国元证券 to 元康盛景28号 刘靖涛 qt3003993899</t>
        </is>
      </c>
      <c r="H36" s="169" t="n"/>
    </row>
    <row r="37">
      <c r="A37" s="110" t="n">
        <v>46048</v>
      </c>
      <c r="B37" s="227" t="inlineStr">
        <is>
          <t>港融6C</t>
        </is>
      </c>
      <c r="C37" s="112" t="n"/>
      <c r="D37" s="112" t="n">
        <v>100</v>
      </c>
      <c r="E37" s="580">
        <f>E36+C37-D37</f>
        <v/>
      </c>
      <c r="F37" s="0" t="inlineStr">
        <is>
          <t>铁建058C[260655.SH]，279w，109.494,1月28日，元康盛景28号 刘靖涛 to 方田远见9号 Z06704，约定号：617</t>
        </is>
      </c>
      <c r="G37" s="217" t="n"/>
      <c r="H37" s="169" t="n"/>
    </row>
    <row r="38">
      <c r="A38" s="110" t="n">
        <v>46050</v>
      </c>
      <c r="B38" s="112" t="inlineStr">
        <is>
          <t>铁建058C</t>
        </is>
      </c>
      <c r="C38" s="112">
        <f>279*1.09494</f>
        <v/>
      </c>
      <c r="D38" s="112" t="n"/>
      <c r="E38" s="580">
        <f>E37+C38-D38</f>
        <v/>
      </c>
      <c r="F38" s="0" t="inlineStr">
        <is>
          <t>铁建081C[265587.SH], 1010w, 100.381,1月28日，元康盛景28号 刘靖涛 to方田远见8号 Z06704，约定号：618</t>
        </is>
      </c>
      <c r="H38" s="169" t="n"/>
    </row>
    <row r="39">
      <c r="A39" s="110" t="n">
        <v>46050</v>
      </c>
      <c r="B39" s="112" t="inlineStr">
        <is>
          <t>铁建081C</t>
        </is>
      </c>
      <c r="C39" s="112">
        <f>1300*1.00381</f>
        <v/>
      </c>
      <c r="D39" s="112" t="n"/>
      <c r="E39" s="580">
        <f>E38+C39-D39</f>
        <v/>
      </c>
      <c r="F39" s="112" t="inlineStr">
        <is>
          <t>铁建081C[265587.SH], 290w, 100.381,1月28日，元康盛景28号 刘靖涛 to方田远见8号 Z06704，约定号：619</t>
        </is>
      </c>
      <c r="H39" s="169" t="n"/>
    </row>
    <row r="40">
      <c r="A40" s="110" t="n">
        <v>46050</v>
      </c>
      <c r="B40" s="112" t="inlineStr">
        <is>
          <t>铁建081C</t>
        </is>
      </c>
      <c r="C40" s="112" t="n"/>
      <c r="D40" s="112">
        <f>1500*1.0002</f>
        <v/>
      </c>
      <c r="E40" s="580">
        <f>E39+C40-D40</f>
        <v/>
      </c>
      <c r="F40" s="0" t="inlineStr">
        <is>
          <t>铁建081C[265587.SH] ,1500w,100.02,1月28日，国泰海通 樊文娟 to 元康盛景28号 刘靖涛</t>
        </is>
      </c>
      <c r="H40" s="169" t="n"/>
    </row>
    <row r="41">
      <c r="A41" s="110" t="n"/>
      <c r="B41" s="112" t="n"/>
      <c r="C41" s="112" t="n"/>
      <c r="D41" s="112" t="n"/>
      <c r="E41" s="580">
        <f>E40+C41-D41</f>
        <v/>
      </c>
      <c r="F41" s="112" t="n"/>
      <c r="H41" s="169" t="n"/>
    </row>
    <row r="42">
      <c r="A42" s="110" t="n"/>
      <c r="B42" s="112" t="n"/>
      <c r="C42" s="112" t="n"/>
      <c r="D42" s="112" t="n"/>
      <c r="E42" s="580">
        <f>E41+C42-D42</f>
        <v/>
      </c>
      <c r="F42" s="112" t="n"/>
      <c r="H42" s="169" t="n"/>
      <c r="R42" s="0" t="inlineStr">
        <is>
          <t>铁建081C</t>
        </is>
      </c>
      <c r="S42" s="464">
        <f>XIRR(S43:S46,R43:R46)</f>
        <v/>
      </c>
    </row>
    <row r="43">
      <c r="A43" s="110" t="n">
        <v>46055</v>
      </c>
      <c r="B43" s="112" t="inlineStr">
        <is>
          <t>铁建081C</t>
        </is>
      </c>
      <c r="C43" s="112">
        <f>1000*1.00456</f>
        <v/>
      </c>
      <c r="D43" s="112" t="n"/>
      <c r="E43" s="580">
        <f>E42+C43-D43</f>
        <v/>
      </c>
      <c r="F43" s="112" t="inlineStr">
        <is>
          <t>铁建081C[265587.SH], 1000w, 100.456，2月2日，元康盛景28号 Z06308 to方田维纳3号 Z13506，约定号：621</t>
        </is>
      </c>
      <c r="H43" s="169" t="n"/>
      <c r="R43" s="1" t="n">
        <v>45832</v>
      </c>
      <c r="S43" s="0" t="n">
        <v>-100</v>
      </c>
    </row>
    <row r="44">
      <c r="A44" s="156" t="n"/>
      <c r="B44" s="112" t="n"/>
      <c r="C44" s="112" t="n"/>
      <c r="D44" s="112" t="n"/>
      <c r="E44" s="580">
        <f>E43+C44-D44</f>
        <v/>
      </c>
      <c r="H44" s="169" t="n"/>
      <c r="R44" s="1" t="n">
        <v>45955</v>
      </c>
      <c r="S44" s="0" t="n">
        <v>1.726</v>
      </c>
    </row>
    <row r="45">
      <c r="E45" s="580">
        <f>E44+C45-D45</f>
        <v/>
      </c>
      <c r="F45" s="112" t="inlineStr">
        <is>
          <t>GC广汽次[180718.SH]，700w，97.423，2月5日，粤开证券 to 元康盛景28号</t>
        </is>
      </c>
      <c r="R45" s="1" t="n">
        <v>46044</v>
      </c>
      <c r="S45" s="0" t="n">
        <v>1.1781</v>
      </c>
    </row>
    <row r="46">
      <c r="A46" s="110" t="n">
        <v>46057</v>
      </c>
      <c r="B46" s="112" t="inlineStr">
        <is>
          <t>铁建081C</t>
        </is>
      </c>
      <c r="C46" s="112">
        <f>920*1.00486</f>
        <v/>
      </c>
      <c r="D46" s="112" t="n"/>
      <c r="E46" s="580">
        <f>E45+C46-D46</f>
        <v/>
      </c>
      <c r="F46" s="112" t="inlineStr">
        <is>
          <t>1、铁建081C[265587.SH]，920w，100.486，2月4日</t>
        </is>
      </c>
      <c r="R46" s="1" t="n">
        <v>46058</v>
      </c>
      <c r="S46" s="0">
        <f>ROUND(-S43*(1+5.5%*(R46-R43)/365)-S44-S45,3)</f>
        <v/>
      </c>
    </row>
    <row r="47">
      <c r="A47" s="110" t="n">
        <v>46057</v>
      </c>
      <c r="B47" s="112" t="inlineStr">
        <is>
          <t>G铁建82C</t>
        </is>
      </c>
      <c r="C47" s="112">
        <f>620*1.02203</f>
        <v/>
      </c>
      <c r="D47" s="112" t="n"/>
      <c r="E47" s="580">
        <f>E46+C47-D47</f>
        <v/>
      </c>
      <c r="F47" s="112" t="inlineStr">
        <is>
          <t>2、G铁建82C[266500.SH]，620w，102.203，2月4日</t>
        </is>
      </c>
      <c r="R47" s="1" t="n"/>
    </row>
    <row r="48">
      <c r="A48" s="110" t="n">
        <v>46058</v>
      </c>
      <c r="B48" s="112" t="inlineStr">
        <is>
          <t>广汽2C</t>
        </is>
      </c>
      <c r="C48" s="112" t="n"/>
      <c r="D48" s="112">
        <f>700*0.97423</f>
        <v/>
      </c>
      <c r="E48" s="580">
        <f>E47+C48-D48</f>
        <v/>
      </c>
      <c r="F48" s="112" t="n"/>
      <c r="R48" s="1" t="n"/>
    </row>
    <row r="49">
      <c r="A49" s="110" t="n">
        <v>46058</v>
      </c>
      <c r="B49" s="112" t="inlineStr">
        <is>
          <t>铁建081C</t>
        </is>
      </c>
      <c r="C49" s="112">
        <f>410*1.00501</f>
        <v/>
      </c>
      <c r="D49" s="112" t="n"/>
      <c r="E49" s="580">
        <f>E48+C49-D49</f>
        <v/>
      </c>
      <c r="F49" s="112" t="inlineStr">
        <is>
          <t>3、铁建081C[265587.SH]，410w，100.501，2月5日</t>
        </is>
      </c>
      <c r="R49" s="1" t="n"/>
    </row>
    <row r="50">
      <c r="A50" s="156" t="n">
        <v>46059</v>
      </c>
      <c r="B50" s="112" t="inlineStr">
        <is>
          <t>荟臻032C卖出</t>
        </is>
      </c>
      <c r="C50" s="112">
        <f>1600*1.368</f>
        <v/>
      </c>
      <c r="D50" s="112" t="n"/>
      <c r="E50" s="580">
        <f>E49+C50-D50</f>
        <v/>
      </c>
      <c r="F50" s="0" t="inlineStr">
        <is>
          <t>荟臻032C (144302.SZ)，1600w，136.80,2月6日， 元康盛景28号 刘靖涛 to 中金 王思路2881374727</t>
        </is>
      </c>
    </row>
    <row r="51">
      <c r="E51" s="580" t="n">
        <v>5420</v>
      </c>
      <c r="R51" s="0" t="inlineStr">
        <is>
          <t>G铁建82C</t>
        </is>
      </c>
      <c r="S51" s="464">
        <f>XIRR(S52:S57,R52:R57)</f>
        <v/>
      </c>
    </row>
    <row r="52">
      <c r="A52" s="117" t="n"/>
      <c r="D52" s="564" t="n"/>
      <c r="E52" s="580">
        <f>E51+C52-D52</f>
        <v/>
      </c>
      <c r="R52" s="1" t="n">
        <v>45923</v>
      </c>
      <c r="S52" s="0" t="n">
        <v>-100</v>
      </c>
    </row>
    <row r="53">
      <c r="A53" s="110" t="n">
        <v>46063</v>
      </c>
      <c r="B53" s="112" t="inlineStr">
        <is>
          <t>五矿申购</t>
        </is>
      </c>
      <c r="C53" s="112" t="n">
        <v>500</v>
      </c>
      <c r="D53" s="578" t="n"/>
      <c r="E53" s="580">
        <f>E52+C53-D53</f>
        <v/>
      </c>
      <c r="H53" s="0" t="inlineStr">
        <is>
          <t>5美好3次</t>
        </is>
      </c>
      <c r="I53" s="0" t="n">
        <v>1500</v>
      </c>
      <c r="J53" s="158" t="n">
        <v>0.7</v>
      </c>
      <c r="K53" s="564" t="n">
        <v>1050</v>
      </c>
      <c r="L53" s="565" t="inlineStr">
        <is>
          <t>长期</t>
        </is>
      </c>
      <c r="R53" s="1" t="n"/>
    </row>
    <row r="54">
      <c r="A54" s="156" t="n">
        <v>46063</v>
      </c>
      <c r="B54" s="112" t="inlineStr">
        <is>
          <t>增加回购</t>
        </is>
      </c>
      <c r="C54" s="112" t="n">
        <v>2187</v>
      </c>
      <c r="D54" s="578" t="n"/>
      <c r="E54" s="580">
        <f>E53+C54-D54</f>
        <v/>
      </c>
      <c r="F54" s="0" t="inlineStr">
        <is>
          <t>已沟通，正常排</t>
        </is>
      </c>
      <c r="H54" s="0" t="inlineStr">
        <is>
          <t>熠安02A3</t>
        </is>
      </c>
      <c r="I54" s="0" t="n">
        <v>2000</v>
      </c>
      <c r="J54" s="158" t="n">
        <v>0.6</v>
      </c>
      <c r="K54" s="564">
        <f>I54*94.79%*J54</f>
        <v/>
      </c>
      <c r="L54" s="565" t="inlineStr">
        <is>
          <t>1个月左右</t>
        </is>
      </c>
      <c r="R54" s="1" t="n"/>
    </row>
    <row r="55">
      <c r="A55" s="156" t="n">
        <v>46063</v>
      </c>
      <c r="B55" s="112" t="inlineStr">
        <is>
          <t>铁建交易</t>
        </is>
      </c>
      <c r="C55" s="112" t="n"/>
      <c r="D55" s="578" t="n">
        <v>1718</v>
      </c>
      <c r="E55" s="580">
        <f>E54+C55-D55</f>
        <v/>
      </c>
      <c r="I55" s="0" t="n"/>
      <c r="J55" s="158" t="n"/>
      <c r="K55" s="564" t="n"/>
      <c r="L55" s="565" t="n"/>
      <c r="R55" s="1" t="n"/>
    </row>
    <row r="56">
      <c r="A56" s="156" t="n">
        <v>46064</v>
      </c>
      <c r="B56" s="112" t="inlineStr">
        <is>
          <t>铁建交易卖出</t>
        </is>
      </c>
      <c r="C56" s="112">
        <f>1718</f>
        <v/>
      </c>
      <c r="D56" s="578" t="n"/>
      <c r="E56" s="580">
        <f>E55+C56-D56</f>
        <v/>
      </c>
      <c r="I56" s="0" t="n"/>
      <c r="J56" s="158" t="n"/>
      <c r="K56" s="564" t="n"/>
      <c r="L56" s="565" t="n"/>
      <c r="R56" s="1" t="n"/>
    </row>
    <row r="57">
      <c r="A57" s="110" t="n"/>
      <c r="B57" s="112" t="n"/>
      <c r="C57" s="112" t="n"/>
      <c r="D57" s="578" t="n"/>
      <c r="E57" s="580">
        <f>E56+C57-D57</f>
        <v/>
      </c>
      <c r="R57" s="1" t="n">
        <v>46057</v>
      </c>
      <c r="S57" s="0">
        <f>ROUND(-S52*(1+6%*(R57-R52)/365),3)</f>
        <v/>
      </c>
    </row>
    <row r="58">
      <c r="A58" s="110" t="n">
        <v>46064</v>
      </c>
      <c r="B58" s="115" t="inlineStr">
        <is>
          <t>赎回</t>
        </is>
      </c>
      <c r="C58" s="112" t="n"/>
      <c r="D58" s="112">
        <f>302*1.11</f>
        <v/>
      </c>
      <c r="E58" s="580">
        <f>E57+C58-D58</f>
        <v/>
      </c>
    </row>
    <row r="59">
      <c r="A59" s="110" t="n">
        <v>46065</v>
      </c>
      <c r="B59" s="112" t="inlineStr">
        <is>
          <t>小鹏次级</t>
        </is>
      </c>
      <c r="C59" s="112" t="n"/>
      <c r="D59" s="578" t="n">
        <v>7505</v>
      </c>
      <c r="E59" s="580">
        <f>E58+C59-D59</f>
        <v/>
      </c>
      <c r="F59" s="0" t="inlineStr">
        <is>
          <t>“小鹏5次”代码：500447，7505w，6.8%（单利）。2月12日缴款，2月13日起息，元康盛景28号</t>
        </is>
      </c>
    </row>
    <row r="60">
      <c r="A60" s="156" t="n">
        <v>46064</v>
      </c>
      <c r="B60" s="112" t="inlineStr">
        <is>
          <t>泸州银行保函</t>
        </is>
      </c>
      <c r="C60" s="112" t="n"/>
      <c r="D60" s="578" t="n">
        <v>100</v>
      </c>
      <c r="E60" s="580">
        <f>E59+C60-D60</f>
        <v/>
      </c>
      <c r="F60" s="0" t="inlineStr">
        <is>
          <t>泸融3C(500471)，100w，7%（单利），2月11日缴款，2月12期起息，元康盛景28号</t>
        </is>
      </c>
    </row>
    <row r="61">
      <c r="A61" s="156" t="n">
        <v>46065</v>
      </c>
      <c r="B61" s="112" t="inlineStr">
        <is>
          <t>潍坊次级</t>
        </is>
      </c>
      <c r="C61" s="112" t="n"/>
      <c r="D61" s="578" t="n">
        <v>100</v>
      </c>
      <c r="E61" s="580">
        <f>E60+C61-D61</f>
        <v/>
      </c>
      <c r="F61" s="0" t="inlineStr">
        <is>
          <t>“潍坊01C”267941，100w，2月12期缴款，2月13日起息，元康盛景28号</t>
        </is>
      </c>
    </row>
    <row r="62">
      <c r="A62" s="156" t="n">
        <v>46065</v>
      </c>
      <c r="B62" s="112" t="inlineStr">
        <is>
          <t>爱建新增申购</t>
        </is>
      </c>
      <c r="C62" s="112" t="n">
        <v>400</v>
      </c>
      <c r="D62" s="578" t="n"/>
      <c r="E62" s="580">
        <f>E61+C62-D62</f>
        <v/>
      </c>
      <c r="F62" s="0" t="inlineStr">
        <is>
          <t>走加急打款流程</t>
        </is>
      </c>
    </row>
    <row r="63">
      <c r="A63" s="156" t="n">
        <v>46065</v>
      </c>
      <c r="B63" s="112" t="inlineStr">
        <is>
          <t>新增回购</t>
        </is>
      </c>
      <c r="C63" s="112" t="n">
        <v>600</v>
      </c>
      <c r="D63" s="578" t="n"/>
      <c r="E63" s="580">
        <f>E62+C63-D63</f>
        <v/>
      </c>
      <c r="F63" s="0" t="inlineStr">
        <is>
          <t>借600w，3.5%，14d，2026-2-12~2026-2-26；押券G光环1次，146092.SZ，750w，80%；正回购方：元康盛景28号 刘靖涛，逆回购方：安远 赵英明qq2929561305</t>
        </is>
      </c>
    </row>
    <row r="64">
      <c r="A64" s="156" t="n">
        <v>46065</v>
      </c>
      <c r="B64" s="112" t="inlineStr">
        <is>
          <t>熠然5A3</t>
        </is>
      </c>
      <c r="C64" s="112" t="n"/>
      <c r="D64" s="578" t="n">
        <v>898</v>
      </c>
      <c r="E64" s="580">
        <f>E63+C64-D64</f>
        <v/>
      </c>
      <c r="F64" s="0" t="inlineStr">
        <is>
          <t>熠然5A3，263739.SH，895w，净价100,2月12日，国泰海通 樊文娟 to 元康盛景28号 刘靖涛</t>
        </is>
      </c>
    </row>
    <row r="65">
      <c r="D65" s="564" t="n"/>
      <c r="E65" s="584" t="n">
        <v>160</v>
      </c>
    </row>
    <row r="66">
      <c r="D66" s="564" t="n"/>
      <c r="E66" s="584">
        <f>E65+C66-D66</f>
        <v/>
      </c>
    </row>
    <row r="67">
      <c r="A67" s="156" t="n">
        <v>46077</v>
      </c>
      <c r="B67" s="112" t="inlineStr">
        <is>
          <t>回款</t>
        </is>
      </c>
      <c r="C67" s="112" t="n">
        <v>748</v>
      </c>
      <c r="D67" s="578" t="n"/>
      <c r="E67" s="580">
        <f>E66+C67-D67</f>
        <v/>
      </c>
    </row>
    <row r="68">
      <c r="A68" s="156" t="n">
        <v>46077</v>
      </c>
      <c r="B68" s="112" t="inlineStr">
        <is>
          <t>熠安02A3回购续作减少</t>
        </is>
      </c>
      <c r="C68" s="112" t="n"/>
      <c r="D68" s="578" t="n">
        <v>305.76</v>
      </c>
      <c r="E68" s="580">
        <f>E67+C68-D68</f>
        <v/>
      </c>
    </row>
    <row r="69">
      <c r="A69" s="156" t="n">
        <v>46078</v>
      </c>
      <c r="B69" s="112" t="inlineStr">
        <is>
          <t>提前归还回购</t>
        </is>
      </c>
      <c r="C69" s="112" t="n"/>
      <c r="D69" s="112" t="n">
        <v>245</v>
      </c>
      <c r="E69" s="580" t="n">
        <v>341</v>
      </c>
    </row>
    <row r="70">
      <c r="A70" s="156" t="n">
        <v>46080</v>
      </c>
      <c r="B70" s="112" t="inlineStr">
        <is>
          <t>马欢代持买回铁建081C</t>
        </is>
      </c>
      <c r="C70" s="572">
        <f>1585*100.833/100</f>
        <v/>
      </c>
      <c r="D70" s="112" t="n"/>
      <c r="E70" s="580">
        <f>E69+C70-D70</f>
        <v/>
      </c>
      <c r="F70" s="217" t="n">
        <v>100.833</v>
      </c>
      <c r="H70" s="276" t="n">
        <v>101.4294</v>
      </c>
      <c r="I70" s="564">
        <f>H70-F70</f>
        <v/>
      </c>
      <c r="J70" s="0" t="inlineStr">
        <is>
          <t>1、铁建081C（265587.SH），240w，100.833，2月27日，元康盛景28号 Z06308 to方田远见5号 Z13506，约定号：631</t>
        </is>
      </c>
    </row>
    <row r="71">
      <c r="A71" s="156" t="n"/>
      <c r="B71" s="112" t="n"/>
      <c r="C71" s="112" t="n"/>
      <c r="D71" s="112" t="n"/>
      <c r="E71" s="580">
        <f>E70+C71-D71</f>
        <v/>
      </c>
      <c r="J71" s="565" t="inlineStr">
        <is>
          <t>2、铁建081C（265587.SH），830w，100.833，2月27日，元康盛景28号 Z06308 to方田远见8号 Z06704，约定号：632</t>
        </is>
      </c>
    </row>
    <row r="72">
      <c r="A72" s="156" t="n">
        <v>46080</v>
      </c>
      <c r="B72" s="112" t="inlineStr">
        <is>
          <t>大业申购</t>
        </is>
      </c>
      <c r="C72" s="112" t="n">
        <v>2000</v>
      </c>
      <c r="D72" s="112" t="n"/>
      <c r="E72" s="580">
        <f>E71+C72-D72</f>
        <v/>
      </c>
      <c r="J72" s="565" t="inlineStr">
        <is>
          <t>3、铁建081C（265587.SH），515w，100.833，2月27日，元康盛景28号 Z06308 to鹏石启航9号 Z13506，约定号：633</t>
        </is>
      </c>
    </row>
    <row r="73">
      <c r="A73" s="156" t="n">
        <v>46080</v>
      </c>
      <c r="B73" s="112" t="inlineStr">
        <is>
          <t>归还回购</t>
        </is>
      </c>
      <c r="C73" s="112" t="n"/>
      <c r="D73" s="112" t="n">
        <v>600</v>
      </c>
      <c r="E73" s="580">
        <f>E72+C73-D73</f>
        <v/>
      </c>
    </row>
    <row r="74">
      <c r="A74" s="156" t="n">
        <v>46080</v>
      </c>
      <c r="B74" s="112" t="inlineStr">
        <is>
          <t>新增回购</t>
        </is>
      </c>
      <c r="C74" s="112" t="n">
        <v>600</v>
      </c>
      <c r="D74" s="112" t="n"/>
      <c r="E74" s="580">
        <f>E73+C74-D74</f>
        <v/>
      </c>
    </row>
    <row r="75">
      <c r="A75" s="156" t="n">
        <v>46083</v>
      </c>
      <c r="B75" s="112" t="inlineStr">
        <is>
          <t>回款</t>
        </is>
      </c>
      <c r="C75" s="112" t="n">
        <v>140</v>
      </c>
      <c r="D75" s="112" t="n"/>
      <c r="E75" s="584">
        <f>E74+C75-D75</f>
        <v/>
      </c>
    </row>
    <row r="76">
      <c r="A76" s="156" t="n">
        <v>46083</v>
      </c>
      <c r="B76" s="112" t="inlineStr">
        <is>
          <t>G光环1次回款</t>
        </is>
      </c>
      <c r="C76" s="572">
        <f>1100*102.2137/100</f>
        <v/>
      </c>
      <c r="D76" s="112" t="n"/>
      <c r="E76" s="584">
        <f>E75+C76-D76</f>
        <v/>
      </c>
      <c r="O76" s="169" t="inlineStr">
        <is>
          <t>5美意3次</t>
        </is>
      </c>
      <c r="P76" s="464">
        <f>XIRR(P77:P78,O77:O78)</f>
        <v/>
      </c>
      <c r="R76" s="169" t="inlineStr">
        <is>
          <t>5美意4次</t>
        </is>
      </c>
      <c r="S76" s="464">
        <f>XIRR(S77:S78,R77:R78)</f>
        <v/>
      </c>
    </row>
    <row r="77">
      <c r="A77" s="156" t="n">
        <v>46083</v>
      </c>
      <c r="B77" s="112" t="inlineStr">
        <is>
          <t>5美意4次</t>
        </is>
      </c>
      <c r="C77" s="112" t="n"/>
      <c r="D77" s="572">
        <f>1250*1.07549</f>
        <v/>
      </c>
      <c r="E77" s="580">
        <f>E76+C77-D77</f>
        <v/>
      </c>
      <c r="F77" s="0" t="inlineStr">
        <is>
          <t>5美意4次，263707.SH，1250w，107.549,3/2, 西藏信托君集2号 2850981264钟振涛 to 元康盛景28号 刘靖涛</t>
        </is>
      </c>
      <c r="O77" s="1" t="n">
        <v>45615</v>
      </c>
      <c r="P77" s="0" t="n">
        <v>-100</v>
      </c>
      <c r="R77" s="1" t="n">
        <v>45616</v>
      </c>
      <c r="S77" s="0" t="n">
        <v>-100</v>
      </c>
    </row>
    <row r="78">
      <c r="A78" s="156" t="n">
        <v>46083</v>
      </c>
      <c r="B78" s="112" t="inlineStr">
        <is>
          <t>启恒次级</t>
        </is>
      </c>
      <c r="C78" s="112" t="n"/>
      <c r="D78" s="112" t="n">
        <v>500</v>
      </c>
      <c r="E78" s="580">
        <f>E77+C78-D78</f>
        <v/>
      </c>
      <c r="F78" s="0" t="inlineStr">
        <is>
          <t>启恒1次，500486，500w。5.98%预期收益率，3月2日缴款，3月3日起息，元康盛景28号</t>
        </is>
      </c>
      <c r="O78" s="1" t="n">
        <v>46083</v>
      </c>
      <c r="P78" s="0">
        <f>ROUND(-P77*(1+5.9%*(O78-O77)/365),3)</f>
        <v/>
      </c>
      <c r="R78" s="1" t="n">
        <v>46083</v>
      </c>
      <c r="S78" s="0">
        <f>ROUND(-S77*(1+5.9%*(R78-R77)/365),3)</f>
        <v/>
      </c>
    </row>
    <row r="79">
      <c r="A79" s="156" t="n">
        <v>46083</v>
      </c>
      <c r="B79" s="112" t="inlineStr">
        <is>
          <t>归还回购-熠安02A3</t>
        </is>
      </c>
      <c r="C79" s="112" t="n"/>
      <c r="D79" s="112" t="n">
        <v>831</v>
      </c>
      <c r="E79" s="580">
        <f>E78+C79-D79</f>
        <v/>
      </c>
    </row>
    <row r="80">
      <c r="A80" s="156" t="n">
        <v>46083</v>
      </c>
      <c r="B80" s="112" t="inlineStr">
        <is>
          <t>释放回款-熠安02A3</t>
        </is>
      </c>
      <c r="C80" s="112" t="n">
        <v>500</v>
      </c>
      <c r="D80" s="112" t="n"/>
      <c r="E80" s="580">
        <f>E79+C80-D80</f>
        <v/>
      </c>
    </row>
    <row r="81">
      <c r="A81" s="156" t="n"/>
      <c r="B81" s="112" t="n"/>
      <c r="C81" s="112" t="n"/>
      <c r="D81" s="112" t="n"/>
      <c r="E81" s="580">
        <f>E80+C81-D81</f>
        <v/>
      </c>
    </row>
    <row r="82">
      <c r="A82" s="156" t="n">
        <v>46083</v>
      </c>
      <c r="B82" s="112" t="inlineStr">
        <is>
          <t>ZJCF08C</t>
        </is>
      </c>
      <c r="C82" s="112" t="n"/>
      <c r="D82" s="112">
        <f>1100*100.894/100</f>
        <v/>
      </c>
      <c r="E82" s="580">
        <f>E81+C82-D82</f>
        <v/>
      </c>
      <c r="F82" s="0" t="n">
        <v>100.894</v>
      </c>
      <c r="G82" s="0" t="inlineStr">
        <is>
          <t>ZJCF08C，266715.SH，1100w，100.894全价，3/2，元康盛景22号 to 扬讯</t>
        </is>
      </c>
      <c r="L82" s="279" t="n"/>
      <c r="M82" s="565" t="inlineStr">
        <is>
          <t>2/5+0</t>
        </is>
      </c>
    </row>
    <row r="83">
      <c r="A83" s="156" t="n">
        <v>46084</v>
      </c>
      <c r="B83" s="112" t="inlineStr">
        <is>
          <t>提前归还回购DY03优3</t>
        </is>
      </c>
      <c r="C83" s="112" t="n"/>
      <c r="D83" s="112" t="n">
        <v>1800</v>
      </c>
      <c r="E83" s="580">
        <f>E82+C83-D83</f>
        <v/>
      </c>
      <c r="G83" s="0" t="inlineStr">
        <is>
          <t>ZJCF08C，266715.SH，1100w，100.904全价，3/2，扬讯 to 元康盛景28号</t>
        </is>
      </c>
      <c r="L83" s="279" t="n"/>
      <c r="M83" s="565" t="inlineStr">
        <is>
          <t>ZJCF08C，266715.SH，</t>
        </is>
      </c>
    </row>
    <row r="84">
      <c r="A84" s="156" t="n">
        <v>46084</v>
      </c>
      <c r="B84" s="112" t="inlineStr">
        <is>
          <t>宝冶</t>
        </is>
      </c>
      <c r="C84" s="572">
        <f>900*101.026/100</f>
        <v/>
      </c>
      <c r="D84" s="112" t="n"/>
      <c r="E84" s="580">
        <f>E83+C84-D84</f>
        <v/>
      </c>
      <c r="F84" s="0" t="inlineStr">
        <is>
          <t>宝冶25次（265833.SH），101.026,900w，3/3，芜湖元康出给国民信托</t>
        </is>
      </c>
      <c r="K84" s="564" t="n"/>
      <c r="M84" s="565" t="inlineStr">
        <is>
          <t>净价100.55，1100w</t>
        </is>
      </c>
    </row>
    <row r="85">
      <c r="A85" s="156" t="n">
        <v>46084</v>
      </c>
      <c r="B85" s="112" t="inlineStr">
        <is>
          <t>元康盛景30号申购</t>
        </is>
      </c>
      <c r="C85" s="572" t="n">
        <v>400</v>
      </c>
      <c r="D85" s="112" t="n"/>
      <c r="E85" s="580">
        <f>E84+C85-D85</f>
        <v/>
      </c>
      <c r="O85" s="0" t="inlineStr">
        <is>
          <t>ZJCF08C</t>
        </is>
      </c>
      <c r="P85" s="464">
        <f>XIRR(P86:P87,O86:O87)</f>
        <v/>
      </c>
    </row>
    <row r="86">
      <c r="A86" s="156" t="n">
        <v>46085</v>
      </c>
      <c r="B86" s="112" t="inlineStr">
        <is>
          <t>赎回</t>
        </is>
      </c>
      <c r="C86" s="572" t="n"/>
      <c r="D86" s="112">
        <f>71*1.11</f>
        <v/>
      </c>
      <c r="E86" s="580" t="n">
        <v>1364</v>
      </c>
      <c r="O86" s="1" t="n">
        <v>46058</v>
      </c>
      <c r="P86" s="0" t="n">
        <v>-100.55</v>
      </c>
    </row>
    <row r="87">
      <c r="A87" s="156" t="n">
        <v>46087</v>
      </c>
      <c r="B87" s="112" t="inlineStr">
        <is>
          <t>新增申购</t>
        </is>
      </c>
      <c r="C87" s="572" t="n">
        <v>350</v>
      </c>
      <c r="D87" s="112" t="n"/>
      <c r="E87" s="580">
        <f>E86+C87-D87</f>
        <v/>
      </c>
      <c r="O87" s="1" t="n">
        <v>46083</v>
      </c>
      <c r="P87" s="0" t="n">
        <v>100.894</v>
      </c>
      <c r="Q87" s="0">
        <f>-P86*(1+R87*(O87-O86)/365)</f>
        <v/>
      </c>
      <c r="R87" s="464" t="n">
        <v>0.05</v>
      </c>
    </row>
    <row r="88">
      <c r="A88" s="156" t="n">
        <v>46087</v>
      </c>
      <c r="B88" s="112" t="inlineStr">
        <is>
          <t>5美意3次</t>
        </is>
      </c>
      <c r="C88" s="572">
        <f>700*1.07625</f>
        <v/>
      </c>
      <c r="D88" s="112" t="n"/>
      <c r="E88" s="580">
        <f>E87+C88-D88</f>
        <v/>
      </c>
      <c r="F88" s="119" t="inlineStr">
        <is>
          <t xml:space="preserve">3/6,  5美意3次[263710.SH] ，700w，107.625，元康盛景28号 刘靖涛 to 粤开证券 许逸潇2881647849 </t>
        </is>
      </c>
      <c r="O88" s="1" t="n"/>
    </row>
    <row r="89">
      <c r="A89" s="156" t="n"/>
      <c r="B89" s="112" t="n"/>
      <c r="C89" s="572" t="n"/>
      <c r="D89" s="112" t="n"/>
      <c r="E89" s="580">
        <f>E88+C89-D89</f>
        <v/>
      </c>
    </row>
    <row r="90">
      <c r="A90" s="156" t="n">
        <v>46090</v>
      </c>
      <c r="B90" s="112" t="inlineStr">
        <is>
          <t>5美好3次</t>
        </is>
      </c>
      <c r="C90" s="572" t="n"/>
      <c r="D90" s="572">
        <f>50*1.08535</f>
        <v/>
      </c>
      <c r="E90" s="580">
        <f>E89+C90-D90</f>
        <v/>
      </c>
      <c r="F90" s="0" t="inlineStr">
        <is>
          <t>3/9，5美好3次[263313.SH] ，50w，108.535，国泰海通樊文娟 to元康盛景28号 刘靖涛</t>
        </is>
      </c>
    </row>
    <row r="91">
      <c r="A91" s="156" t="n">
        <v>46090</v>
      </c>
      <c r="B91" s="112" t="inlineStr">
        <is>
          <t>5美意3次</t>
        </is>
      </c>
      <c r="C91" s="572" t="n"/>
      <c r="D91" s="572">
        <f>150*1.07678</f>
        <v/>
      </c>
      <c r="E91" s="580">
        <f>E90+C91-D91</f>
        <v/>
      </c>
      <c r="F91" s="0" t="inlineStr">
        <is>
          <t>3/9，5美意3次[263710.SH] ，150w，107.678，国泰海通樊文娟 to元康盛景28号 刘靖涛</t>
        </is>
      </c>
    </row>
    <row r="92">
      <c r="A92" s="156" t="n"/>
      <c r="B92" s="112" t="n"/>
      <c r="C92" s="572" t="n"/>
      <c r="D92" s="572" t="n"/>
      <c r="E92" s="580">
        <f>E91+C92-D92</f>
        <v/>
      </c>
    </row>
    <row r="93">
      <c r="A93" s="156" t="n"/>
      <c r="B93" s="112" t="n"/>
      <c r="C93" s="572" t="n"/>
      <c r="D93" s="572" t="n"/>
      <c r="E93" s="580">
        <f>E92+C93-D93</f>
        <v/>
      </c>
      <c r="G93" s="0" t="inlineStr">
        <is>
          <t> </t>
        </is>
      </c>
    </row>
    <row r="94">
      <c r="A94" s="156" t="n"/>
      <c r="B94" s="112" t="n"/>
      <c r="C94" s="572" t="n"/>
      <c r="D94" s="572" t="n"/>
      <c r="E94" s="580">
        <f>E93+C94-D94</f>
        <v/>
      </c>
    </row>
    <row r="95">
      <c r="A95" s="156" t="n">
        <v>46091</v>
      </c>
      <c r="B95" s="112" t="inlineStr">
        <is>
          <t>新增申购</t>
        </is>
      </c>
      <c r="C95" s="572" t="n">
        <v>1000</v>
      </c>
      <c r="D95" s="572" t="n"/>
      <c r="E95" s="580">
        <f>E94+C95-D95</f>
        <v/>
      </c>
    </row>
    <row r="96">
      <c r="A96" s="156" t="n">
        <v>46091</v>
      </c>
      <c r="B96" s="112" t="inlineStr">
        <is>
          <t>新增回购DY03优3</t>
        </is>
      </c>
      <c r="C96" s="572" t="n">
        <v>1800</v>
      </c>
      <c r="D96" s="112" t="n"/>
      <c r="E96" s="580">
        <f>E95+C96-D96</f>
        <v/>
      </c>
    </row>
    <row r="97">
      <c r="A97" s="156" t="n">
        <v>46091</v>
      </c>
      <c r="B97" s="112" t="inlineStr">
        <is>
          <t>新增回购-玮盈</t>
        </is>
      </c>
      <c r="C97" s="572" t="n">
        <v>1080</v>
      </c>
      <c r="D97" s="112" t="n"/>
      <c r="E97" s="580">
        <f>E96+C97-D97</f>
        <v/>
      </c>
    </row>
    <row r="98">
      <c r="A98" s="156" t="n">
        <v>46091</v>
      </c>
      <c r="B98" s="112" t="inlineStr">
        <is>
          <t>赎回-五矿</t>
        </is>
      </c>
      <c r="C98" s="572" t="n"/>
      <c r="D98" s="578" t="n">
        <v>2549.9</v>
      </c>
      <c r="E98" s="580">
        <f>E97+C98-D98</f>
        <v/>
      </c>
    </row>
    <row r="99">
      <c r="A99" s="156" t="n">
        <v>46091</v>
      </c>
      <c r="B99" s="112" t="inlineStr">
        <is>
          <t xml:space="preserve">工鑫41次 </t>
        </is>
      </c>
      <c r="C99" s="572" t="n"/>
      <c r="D99" s="578">
        <f>1500*103.091/100</f>
        <v/>
      </c>
      <c r="E99" s="580">
        <f>E98+C99-D99</f>
        <v/>
      </c>
    </row>
    <row r="100">
      <c r="A100" s="156" t="n">
        <v>46092</v>
      </c>
      <c r="B100" s="112" t="inlineStr">
        <is>
          <t xml:space="preserve">工鑫41次 </t>
        </is>
      </c>
      <c r="C100" s="572">
        <f>1500*103.109/100</f>
        <v/>
      </c>
      <c r="D100" s="578" t="n"/>
      <c r="E100" s="580">
        <f>E99+C100-D100</f>
        <v/>
      </c>
      <c r="H100" s="573" t="n"/>
    </row>
    <row r="101">
      <c r="A101" s="156" t="n">
        <v>46092</v>
      </c>
      <c r="B101" s="112" t="inlineStr">
        <is>
          <t>赎回</t>
        </is>
      </c>
      <c r="C101" s="572" t="n"/>
      <c r="D101" s="578">
        <f>140*1.116</f>
        <v/>
      </c>
      <c r="E101" s="580">
        <f>E100+C101-D101</f>
        <v/>
      </c>
    </row>
    <row r="102">
      <c r="A102" s="156" t="n">
        <v>46092</v>
      </c>
      <c r="B102" s="112" t="inlineStr">
        <is>
          <t>宝冶</t>
        </is>
      </c>
      <c r="C102" s="572">
        <f>800*101.157/100</f>
        <v/>
      </c>
      <c r="D102" s="112" t="n"/>
      <c r="E102" s="580">
        <f>E101+C102-D102</f>
        <v/>
      </c>
      <c r="F102" s="0" t="inlineStr">
        <is>
          <t>宝冶25次（265833.SH），101.157,  800w，3/11，芜湖元康出 给 国民信托津民1号债券投资集合资金信托计划</t>
        </is>
      </c>
    </row>
    <row r="103">
      <c r="A103" s="156" t="n">
        <v>46092</v>
      </c>
      <c r="B103" s="112" t="inlineStr">
        <is>
          <t>归还回购</t>
        </is>
      </c>
      <c r="C103" s="112" t="n"/>
      <c r="D103" s="112" t="n">
        <v>3149</v>
      </c>
      <c r="E103" s="580">
        <f>E102+C103-D103</f>
        <v/>
      </c>
    </row>
    <row r="104">
      <c r="A104" s="156" t="n">
        <v>46092</v>
      </c>
      <c r="B104" s="112" t="inlineStr">
        <is>
          <t>底层回款</t>
        </is>
      </c>
      <c r="C104" s="112" t="n">
        <v>180</v>
      </c>
      <c r="D104" s="112" t="n"/>
      <c r="E104" s="580">
        <f>E103+C104-D104</f>
        <v/>
      </c>
    </row>
    <row r="105">
      <c r="A105" s="156" t="n">
        <v>46094</v>
      </c>
      <c r="B105" s="320" t="inlineStr">
        <is>
          <t>京诚155B回款到期</t>
        </is>
      </c>
      <c r="C105" s="112">
        <f>500*100.983/100</f>
        <v/>
      </c>
      <c r="D105" s="112" t="n"/>
      <c r="E105" s="580">
        <f>E104+C105-D105</f>
        <v/>
      </c>
    </row>
    <row r="106">
      <c r="A106" s="156" t="n">
        <v>46094</v>
      </c>
      <c r="B106" s="253" t="inlineStr">
        <is>
          <t>慧聚领航1号申购</t>
        </is>
      </c>
      <c r="C106" s="112" t="n">
        <v>300</v>
      </c>
      <c r="D106" s="112" t="n"/>
      <c r="E106" s="580">
        <f>E105+C106-D106</f>
        <v/>
      </c>
    </row>
    <row r="107">
      <c r="A107" s="156" t="n">
        <v>46094</v>
      </c>
      <c r="B107" s="253" t="inlineStr">
        <is>
          <t>睿铭3次</t>
        </is>
      </c>
      <c r="C107" s="112" t="n"/>
      <c r="D107" s="578">
        <f>105.481*193/100</f>
        <v/>
      </c>
      <c r="E107" s="580">
        <f>E106+C107-D107</f>
        <v/>
      </c>
      <c r="F107" s="0" t="inlineStr">
        <is>
          <t>睿铭3次 (264171.SH)，193w，105.481全价，3/13，西藏君集2号 to 元康盛景28号</t>
        </is>
      </c>
    </row>
    <row r="108">
      <c r="B108" s="308" t="n"/>
      <c r="E108" s="584" t="n">
        <v>1854</v>
      </c>
    </row>
    <row r="109">
      <c r="A109" s="156" t="n">
        <v>46097</v>
      </c>
      <c r="B109" s="253" t="inlineStr">
        <is>
          <t>底层回款</t>
        </is>
      </c>
      <c r="C109" s="112" t="n">
        <v>622</v>
      </c>
      <c r="D109" s="112" t="n"/>
      <c r="E109" s="580">
        <f>E108+C109-D109</f>
        <v/>
      </c>
    </row>
    <row r="110">
      <c r="A110" s="156" t="n">
        <v>46097</v>
      </c>
      <c r="B110" s="253" t="inlineStr">
        <is>
          <t>新增回购</t>
        </is>
      </c>
      <c r="C110" s="112" t="n">
        <v>1500</v>
      </c>
      <c r="D110" s="112" t="n"/>
      <c r="E110" s="580">
        <f>E109+C110-D110</f>
        <v/>
      </c>
      <c r="F110" s="0" t="inlineStr">
        <is>
          <t>借1500w，xd，3.5%，押券工鑫42次，1875w,80%,正回购方：元康盛景28号 刘靖涛；逆回购方：安远投资xx</t>
        </is>
      </c>
      <c r="H110" s="0" t="inlineStr">
        <is>
          <t>睿铭3次</t>
        </is>
      </c>
      <c r="I110" s="564">
        <f>836+563</f>
        <v/>
      </c>
      <c r="J110" s="565" t="inlineStr">
        <is>
          <t>苏信，28号</t>
        </is>
      </c>
    </row>
    <row r="111">
      <c r="A111" s="156" t="n"/>
      <c r="B111" s="253" t="n"/>
      <c r="C111" s="112" t="n"/>
      <c r="D111" s="576" t="n"/>
      <c r="E111" s="580">
        <f>E110+C111-D111</f>
        <v/>
      </c>
      <c r="H111" s="0" t="inlineStr">
        <is>
          <t>玮盈5次</t>
        </is>
      </c>
      <c r="I111" s="564" t="n">
        <v>1048</v>
      </c>
      <c r="J111" s="565" t="inlineStr">
        <is>
          <t>28号</t>
        </is>
      </c>
    </row>
    <row r="112">
      <c r="A112" s="156" t="n">
        <v>46097</v>
      </c>
      <c r="B112" s="253" t="inlineStr">
        <is>
          <t>玮盈5次</t>
        </is>
      </c>
      <c r="C112" s="112" t="n"/>
      <c r="D112" s="576">
        <f>985*106.507/100</f>
        <v/>
      </c>
      <c r="E112" s="580">
        <f>E111+C112-D112</f>
        <v/>
      </c>
      <c r="F112" s="0" t="inlineStr">
        <is>
          <t>玮盈5次 (144775.SZ)，985w，106.507全价，3/16，外贸君达1号 to 元康盛景28号</t>
        </is>
      </c>
      <c r="H112" s="0" t="inlineStr">
        <is>
          <t>启宸6次</t>
        </is>
      </c>
      <c r="I112" s="564" t="n">
        <v>445</v>
      </c>
      <c r="J112" s="565" t="inlineStr">
        <is>
          <t>20号</t>
        </is>
      </c>
    </row>
    <row r="113">
      <c r="A113" s="156" t="n">
        <v>46097</v>
      </c>
      <c r="B113" s="112" t="inlineStr">
        <is>
          <t>尚泽壹3C</t>
        </is>
      </c>
      <c r="C113" s="112" t="n"/>
      <c r="D113" s="576">
        <f>2005*134.922/100</f>
        <v/>
      </c>
      <c r="E113" s="580">
        <f>E112+C113-D113</f>
        <v/>
      </c>
      <c r="F113" s="0" t="inlineStr">
        <is>
          <t>尚泽壹3C (264810.SH)，2005w，134.922全价，3/16，元康19号 to 芜湖扬讯；尚泽壹3C (264810.SH)，2005w，134.932全价，3/16，芜湖扬讯 to 元康盛景28号</t>
        </is>
      </c>
      <c r="H113" s="0" t="inlineStr">
        <is>
          <t>尚泽壹3C</t>
        </is>
      </c>
      <c r="I113" s="585" t="n">
        <v>2705</v>
      </c>
      <c r="J113" s="565" t="inlineStr">
        <is>
          <t>28号</t>
        </is>
      </c>
    </row>
    <row r="114">
      <c r="A114" s="156" t="n"/>
      <c r="B114" s="253" t="n"/>
      <c r="C114" s="112" t="n"/>
      <c r="D114" s="112" t="n"/>
      <c r="E114" s="580">
        <f>E113+C114-D114</f>
        <v/>
      </c>
      <c r="H114" s="0" t="inlineStr">
        <is>
          <t>荟享244C</t>
        </is>
      </c>
      <c r="I114" s="564" t="n">
        <v>322</v>
      </c>
      <c r="J114" s="565" t="inlineStr">
        <is>
          <t>20号</t>
        </is>
      </c>
    </row>
    <row r="115">
      <c r="A115" s="156" t="n">
        <v>46097</v>
      </c>
      <c r="B115" s="253" t="inlineStr">
        <is>
          <t>西南证券</t>
        </is>
      </c>
      <c r="C115" s="112" t="n">
        <v>500</v>
      </c>
      <c r="D115" s="112" t="n"/>
      <c r="E115" s="580">
        <f>E114+C115-D115</f>
        <v/>
      </c>
      <c r="I115" s="564">
        <f>SUM(I110:I114)</f>
        <v/>
      </c>
    </row>
    <row r="116">
      <c r="A116" s="156" t="n">
        <v>46097</v>
      </c>
      <c r="B116" s="253" t="inlineStr">
        <is>
          <t>五矿申购</t>
        </is>
      </c>
      <c r="C116" s="112" t="n">
        <v>180</v>
      </c>
      <c r="D116" s="112" t="n"/>
      <c r="E116" s="580">
        <f>E115+C116-D116</f>
        <v/>
      </c>
    </row>
    <row r="117">
      <c r="A117" s="156" t="n">
        <v>46099</v>
      </c>
      <c r="B117" s="253" t="inlineStr">
        <is>
          <t>新增申购</t>
        </is>
      </c>
      <c r="C117" s="112" t="n">
        <v>830</v>
      </c>
      <c r="D117" s="112" t="n"/>
      <c r="E117" s="580">
        <f>E116+C117-D117</f>
        <v/>
      </c>
    </row>
    <row r="118">
      <c r="A118" s="156" t="n">
        <v>46099</v>
      </c>
      <c r="B118" s="112" t="inlineStr">
        <is>
          <t>赎回</t>
        </is>
      </c>
      <c r="C118" s="112" t="n"/>
      <c r="D118" s="112" t="n">
        <v>78.16</v>
      </c>
      <c r="E118" s="580">
        <f>E117+C118-D118</f>
        <v/>
      </c>
    </row>
    <row r="119">
      <c r="A119" s="156" t="n">
        <v>46099</v>
      </c>
      <c r="B119" s="112" t="inlineStr">
        <is>
          <t>熠然5A3</t>
        </is>
      </c>
      <c r="C119" s="576">
        <f>+苏信优先级Z2501!N40</f>
        <v/>
      </c>
      <c r="D119" s="112" t="n"/>
      <c r="E119" s="580">
        <f>E118+C119-D119</f>
        <v/>
      </c>
      <c r="F119" s="0" t="inlineStr">
        <is>
          <t>苏信2501</t>
        </is>
      </c>
    </row>
    <row r="120">
      <c r="A120" s="156" t="n">
        <v>46104</v>
      </c>
      <c r="B120" s="112" t="inlineStr">
        <is>
          <t>兑付回款</t>
        </is>
      </c>
      <c r="C120" s="112" t="n">
        <v>590</v>
      </c>
      <c r="D120" s="112" t="n"/>
      <c r="E120" s="580" t="n">
        <v>3281</v>
      </c>
    </row>
    <row r="121">
      <c r="A121" s="156" t="n"/>
      <c r="B121" s="112" t="n"/>
      <c r="C121" s="112" t="n"/>
      <c r="D121" s="112" t="n"/>
      <c r="E121" s="580">
        <f>E120+C121-D121</f>
        <v/>
      </c>
    </row>
    <row r="122">
      <c r="A122" s="156" t="n">
        <v>46104</v>
      </c>
      <c r="B122" s="112" t="inlineStr">
        <is>
          <t>归还回购</t>
        </is>
      </c>
      <c r="C122" s="112" t="n"/>
      <c r="D122" s="112" t="n">
        <v>2818</v>
      </c>
      <c r="E122" s="580">
        <f>E121+C122-D122</f>
        <v/>
      </c>
    </row>
    <row r="123">
      <c r="A123" s="156" t="n"/>
      <c r="B123" s="112" t="n"/>
      <c r="C123" s="112" t="n"/>
      <c r="D123" s="112" t="n"/>
      <c r="E123" s="580">
        <f>E122+C123-D123</f>
        <v/>
      </c>
    </row>
    <row r="124">
      <c r="A124" s="156" t="n">
        <v>46105</v>
      </c>
      <c r="B124" s="112" t="inlineStr">
        <is>
          <t>熠安02A3</t>
        </is>
      </c>
      <c r="C124" s="112">
        <f>苏信次级Z2502!AF48*苏信次级Z2502!M48/100</f>
        <v/>
      </c>
      <c r="D124" s="112" t="n"/>
      <c r="E124" s="580">
        <f>E123+C124-D124</f>
        <v/>
      </c>
      <c r="F124" s="0" t="inlineStr">
        <is>
          <t>熠安02A3[144651.SZ]，3200w，61.42，3月24日，元康盛景28号 to 粤开证券</t>
        </is>
      </c>
      <c r="G124" s="0" t="inlineStr">
        <is>
          <t>熠安02A3[144651.SZ]，3200w，61.425，3月24日，粤开证券 许逸潇2881647849 to 天风证券 唐德婷qt 2885078648</t>
        </is>
      </c>
    </row>
    <row r="125">
      <c r="A125" s="156" t="n">
        <v>46105</v>
      </c>
      <c r="B125" s="112" t="inlineStr">
        <is>
          <t>小鹏5次</t>
        </is>
      </c>
      <c r="C125" s="112">
        <f>苏信次级Z2502!AF49*苏信次级Z2502!M49/100</f>
        <v/>
      </c>
      <c r="D125" s="112" t="n"/>
      <c r="E125" s="580">
        <f>E124+C125-D125</f>
        <v/>
      </c>
      <c r="F125" s="0" t="inlineStr">
        <is>
          <t>小鹏5次[500447.SZ]，2000w，101.1，3月24日，元康盛景28号 to 粤开证券</t>
        </is>
      </c>
      <c r="G125" s="0" t="inlineStr">
        <is>
          <t>小鹏5次[500447.SZ]，2000w，101.105，3月24日，粤开证券 许逸潇2881647849 to 天风证券 唐德婷qt 2885078648</t>
        </is>
      </c>
    </row>
    <row r="126">
      <c r="A126" s="156" t="n"/>
      <c r="B126" s="112" t="n"/>
      <c r="C126" s="112" t="n"/>
      <c r="D126" s="112" t="n"/>
      <c r="E126" s="580">
        <f>E125+C126-D126</f>
        <v/>
      </c>
    </row>
    <row r="127">
      <c r="A127" s="156" t="n">
        <v>46105</v>
      </c>
      <c r="B127" s="112" t="inlineStr">
        <is>
          <t>新增申购-中建投</t>
        </is>
      </c>
      <c r="C127" s="112" t="n">
        <v>200</v>
      </c>
      <c r="D127" s="112" t="n"/>
      <c r="E127" s="580">
        <f>E126+C127-D127</f>
        <v/>
      </c>
    </row>
    <row r="128">
      <c r="A128" s="156" t="n">
        <v>46105</v>
      </c>
      <c r="B128" s="112" t="inlineStr">
        <is>
          <t>5美意3次</t>
        </is>
      </c>
      <c r="C128" s="112" t="n"/>
      <c r="D128" s="112">
        <f>200*1.07921</f>
        <v/>
      </c>
      <c r="E128" s="580" t="n">
        <v>4480</v>
      </c>
      <c r="F128" s="0" t="inlineStr">
        <is>
          <t>3/24，5美意3次[263710.SH] ，200w，107.921，国泰海通樊文娟 to元康盛景28号 刘靖涛</t>
        </is>
      </c>
    </row>
    <row r="129">
      <c r="A129" s="156" t="n">
        <v>46106</v>
      </c>
      <c r="B129" s="112" t="inlineStr">
        <is>
          <t>新增申购-中建投</t>
        </is>
      </c>
      <c r="C129" s="112" t="n">
        <v>200</v>
      </c>
      <c r="D129" s="112" t="n"/>
      <c r="E129" s="580">
        <f>E128+C129-D129</f>
        <v/>
      </c>
      <c r="T129" s="464" t="n"/>
    </row>
    <row r="130">
      <c r="A130" s="156" t="n">
        <v>46106</v>
      </c>
      <c r="B130" s="112" t="inlineStr">
        <is>
          <t>赎回</t>
        </is>
      </c>
      <c r="C130" s="112" t="n"/>
      <c r="D130" s="112" t="n">
        <v>101.38446</v>
      </c>
      <c r="E130" s="580">
        <f>E129+C130-D130</f>
        <v/>
      </c>
      <c r="I130" s="158" t="n"/>
    </row>
    <row r="131">
      <c r="A131" s="156" t="n">
        <v>46106</v>
      </c>
      <c r="B131" s="112" t="inlineStr">
        <is>
          <t>6美意2次</t>
        </is>
      </c>
      <c r="C131" s="112">
        <f>1000*104.714%</f>
        <v/>
      </c>
      <c r="D131" s="112" t="n"/>
      <c r="E131" s="580">
        <f>E130+C131-D131</f>
        <v/>
      </c>
      <c r="F131" s="0" t="inlineStr">
        <is>
          <t>3/25，6美意2次，265347.SH，990w，净价/全价 104.714，元康盛景28号 to 粤开证券 许逸潇2881647849</t>
        </is>
      </c>
      <c r="I131" s="158" t="n"/>
    </row>
    <row r="132">
      <c r="A132" s="156" t="n">
        <v>46106</v>
      </c>
      <c r="B132" s="112" t="inlineStr">
        <is>
          <t>G蔚能1科</t>
        </is>
      </c>
      <c r="C132" s="112" t="n"/>
      <c r="D132" s="112">
        <f>4000*100.707%</f>
        <v/>
      </c>
      <c r="E132" s="580">
        <f>E131+C132-D132</f>
        <v/>
      </c>
      <c r="F132" s="201" t="n"/>
      <c r="I132" s="0" t="n"/>
    </row>
    <row r="133">
      <c r="A133" s="156" t="n"/>
      <c r="B133" s="112" t="n"/>
      <c r="C133" s="112" t="n"/>
      <c r="D133" s="112" t="n"/>
      <c r="E133" s="580">
        <f>E132+C133-D133</f>
        <v/>
      </c>
      <c r="I133" s="158" t="n"/>
    </row>
    <row r="134">
      <c r="A134" s="156" t="n">
        <v>46111</v>
      </c>
      <c r="B134" s="112" t="inlineStr">
        <is>
          <t>底层回款</t>
        </is>
      </c>
      <c r="C134" s="112" t="n">
        <v>158.46</v>
      </c>
      <c r="D134" s="112" t="n"/>
      <c r="E134" s="580" t="n">
        <v>1753</v>
      </c>
      <c r="I134" s="158" t="n"/>
    </row>
    <row r="135">
      <c r="A135" s="156" t="n">
        <v>46111</v>
      </c>
      <c r="B135" s="112" t="inlineStr">
        <is>
          <t>爱建追加</t>
        </is>
      </c>
      <c r="C135" s="112" t="n">
        <v>400</v>
      </c>
      <c r="D135" s="112" t="n"/>
      <c r="E135" s="580">
        <f>E134+C135-D135</f>
        <v/>
      </c>
      <c r="I135" s="158" t="n"/>
    </row>
    <row r="136">
      <c r="A136" s="156" t="n"/>
      <c r="B136" s="112" t="n"/>
      <c r="C136" s="112" t="n"/>
      <c r="D136" s="112" t="n"/>
      <c r="E136" s="580">
        <f>E135+C136-D136</f>
        <v/>
      </c>
      <c r="I136" s="158" t="n"/>
    </row>
    <row r="137">
      <c r="A137" s="156" t="n">
        <v>46111</v>
      </c>
      <c r="B137" s="112" t="inlineStr">
        <is>
          <t>铁建085C</t>
        </is>
      </c>
      <c r="C137" s="112" t="n"/>
      <c r="D137" s="112" t="n">
        <v>1500</v>
      </c>
      <c r="E137" s="580">
        <f>E136+C137-D137</f>
        <v/>
      </c>
      <c r="I137" s="158" t="n"/>
    </row>
    <row r="138">
      <c r="A138" s="156" t="n"/>
      <c r="B138" s="156" t="n"/>
      <c r="C138" s="156" t="n"/>
      <c r="D138" s="112" t="n"/>
      <c r="E138" s="580">
        <f>E137+C138-D138</f>
        <v/>
      </c>
      <c r="I138" s="158" t="n"/>
    </row>
    <row r="139">
      <c r="A139" s="156" t="n"/>
      <c r="B139" s="112" t="n"/>
      <c r="C139" s="112" t="n"/>
      <c r="D139" s="112" t="n"/>
      <c r="E139" s="580">
        <f>E138+C139-D139</f>
        <v/>
      </c>
      <c r="I139" s="158" t="n"/>
    </row>
    <row r="140">
      <c r="A140" s="156" t="n"/>
      <c r="B140" s="112" t="n"/>
      <c r="C140" s="112" t="n"/>
      <c r="D140" s="112" t="n"/>
      <c r="E140" s="580">
        <f>E139+C140-D140</f>
        <v/>
      </c>
      <c r="I140" s="158" t="n"/>
    </row>
    <row r="141">
      <c r="A141" s="156" t="n">
        <v>46113</v>
      </c>
      <c r="B141" s="112" t="inlineStr">
        <is>
          <t>赎回</t>
        </is>
      </c>
      <c r="C141" s="112" t="n"/>
      <c r="D141" s="112" t="n">
        <v>162.2695</v>
      </c>
      <c r="E141" s="580">
        <f>E140+C141-D141</f>
        <v/>
      </c>
      <c r="I141" s="158" t="n"/>
    </row>
    <row r="142">
      <c r="A142" s="156" t="n">
        <v>46113</v>
      </c>
      <c r="B142" s="112" t="inlineStr">
        <is>
          <t>熠然03A3</t>
        </is>
      </c>
      <c r="C142" s="112" t="n">
        <v>1014</v>
      </c>
      <c r="D142" s="112" t="n"/>
      <c r="E142" s="580">
        <f>E141+C142-D142</f>
        <v/>
      </c>
      <c r="F142" s="0" t="inlineStr">
        <is>
          <t>4/1，熠然03A3，144938.SZ，1100w，净价92.074,  元康盛景28号 刘靖涛3003993899 to 中信证券3004076439</t>
        </is>
      </c>
      <c r="I142" s="158" t="n"/>
    </row>
    <row r="143">
      <c r="A143" s="156" t="n">
        <v>46115</v>
      </c>
      <c r="B143" s="112" t="inlineStr">
        <is>
          <t>申购</t>
        </is>
      </c>
      <c r="C143" s="112" t="n">
        <v>600</v>
      </c>
      <c r="D143" s="112" t="n"/>
      <c r="E143" s="580">
        <f>E142+C143-D143</f>
        <v/>
      </c>
      <c r="I143" s="158" t="n"/>
    </row>
    <row r="144">
      <c r="A144" s="156" t="n"/>
      <c r="B144" s="112" t="n"/>
      <c r="C144" s="112" t="n"/>
      <c r="D144" s="112" t="n"/>
      <c r="E144" s="580">
        <f>E143+C144-D144</f>
        <v/>
      </c>
      <c r="I144" s="158" t="n"/>
    </row>
    <row r="145">
      <c r="A145" s="156" t="n"/>
      <c r="B145" s="112" t="n"/>
      <c r="C145" s="112" t="n"/>
      <c r="D145" s="112" t="n"/>
      <c r="E145" s="580">
        <f>E144+C145-D145</f>
        <v/>
      </c>
      <c r="I145" s="158" t="n"/>
    </row>
    <row r="146">
      <c r="A146" s="156" t="n"/>
      <c r="B146" s="112" t="n"/>
      <c r="C146" s="112" t="n"/>
      <c r="D146" s="112" t="n"/>
      <c r="E146" s="580">
        <f>E145+C146-D146</f>
        <v/>
      </c>
      <c r="F146" s="573" t="n"/>
      <c r="H146" s="0" t="inlineStr">
        <is>
          <t>代码</t>
        </is>
      </c>
      <c r="I146" s="0" t="inlineStr">
        <is>
          <t>日期</t>
        </is>
      </c>
      <c r="J146" s="0" t="inlineStr">
        <is>
          <t>规模</t>
        </is>
      </c>
      <c r="K146" s="158" t="inlineStr">
        <is>
          <t>价格</t>
        </is>
      </c>
      <c r="L146" s="565" t="inlineStr">
        <is>
          <t>估值</t>
        </is>
      </c>
      <c r="M146" s="565" t="n"/>
      <c r="N146" s="564" t="inlineStr">
        <is>
          <t>金额</t>
        </is>
      </c>
    </row>
    <row r="147">
      <c r="A147" s="156" t="n">
        <v>46120</v>
      </c>
      <c r="B147" s="112" t="inlineStr">
        <is>
          <t>阳光金科稳健11赎回</t>
        </is>
      </c>
      <c r="C147" s="112" t="n"/>
      <c r="D147" s="112" t="n">
        <v>454.6388</v>
      </c>
      <c r="E147" s="580">
        <f>E146+C147-D147</f>
        <v/>
      </c>
      <c r="F147" s="573" t="n"/>
      <c r="G147" s="0" t="inlineStr">
        <is>
          <t>铁建051C</t>
        </is>
      </c>
      <c r="H147" s="0" t="inlineStr">
        <is>
          <t>199768.SH</t>
        </is>
      </c>
      <c r="I147" s="117" t="n">
        <v>46120</v>
      </c>
      <c r="J147" s="0" t="n">
        <v>337</v>
      </c>
      <c r="K147" s="579" t="n">
        <v>112.603</v>
      </c>
      <c r="L147" s="586" t="n">
        <v>112.075</v>
      </c>
      <c r="M147" s="565">
        <f>+(L147-K147)*J147/100</f>
        <v/>
      </c>
      <c r="N147" s="564">
        <f>+K147*J147/100</f>
        <v/>
      </c>
      <c r="O147" s="564" t="inlineStr">
        <is>
          <t>元康盛景28号 刘靖涛3003993899</t>
        </is>
      </c>
      <c r="P147" s="0">
        <f>G147&amp;"["&amp;H147&amp;"]，"&amp;J147&amp;"w，"&amp;K147&amp;"，"&amp;TEXT(I147,"m月d日")&amp;"，"&amp;"【】"&amp;" to "&amp;O147</f>
        <v/>
      </c>
      <c r="Q147" s="0" t="inlineStr">
        <is>
          <t>铁建051C[199768.SH]，337w，112.603，4月8日，【】 to 元康盛景28号 刘靖涛3003993899</t>
        </is>
      </c>
    </row>
    <row r="148">
      <c r="A148" s="156" t="n">
        <v>46120</v>
      </c>
      <c r="B148" s="112" t="inlineStr">
        <is>
          <t>铁建051/061</t>
        </is>
      </c>
      <c r="C148" s="112" t="n"/>
      <c r="D148" s="576" t="n">
        <v>1491.13121</v>
      </c>
      <c r="E148" s="580">
        <f>E147+C148-D148</f>
        <v/>
      </c>
      <c r="G148" s="0" t="inlineStr">
        <is>
          <t>铁建061C</t>
        </is>
      </c>
      <c r="H148" s="0" t="inlineStr">
        <is>
          <t>260663.SH</t>
        </is>
      </c>
      <c r="I148" s="117" t="n">
        <v>46120</v>
      </c>
      <c r="J148" s="0" t="n">
        <v>320</v>
      </c>
      <c r="K148" s="579" t="n">
        <v>111.938</v>
      </c>
      <c r="L148" s="586">
        <f>-M271*(1+K278*(L276-L271)/365)-SUM(M272:M275)</f>
        <v/>
      </c>
      <c r="M148" s="565">
        <f>+(L148-K148)*J148/100</f>
        <v/>
      </c>
      <c r="N148" s="564">
        <f>+K148*J148/100</f>
        <v/>
      </c>
      <c r="O148" s="564" t="inlineStr">
        <is>
          <t>元康盛景28号 刘靖涛3003993899</t>
        </is>
      </c>
      <c r="P148" s="0">
        <f>G148&amp;"["&amp;H148&amp;"]，"&amp;J148&amp;"w，"&amp;K148&amp;"，"&amp;TEXT(I148,"m月d日")&amp;"，"&amp;"【】"&amp;" to "&amp;O148</f>
        <v/>
      </c>
      <c r="Q148" s="0" t="inlineStr">
        <is>
          <t>铁建061C[260663.SH]，320w，111.938，4月8日，【】 to 元康盛景28号 刘靖涛3003993899</t>
        </is>
      </c>
    </row>
    <row r="149">
      <c r="A149" s="156" t="n">
        <v>46120</v>
      </c>
      <c r="B149" s="112" t="inlineStr">
        <is>
          <t>管理费</t>
        </is>
      </c>
      <c r="C149" s="112" t="n"/>
      <c r="D149" s="112" t="n">
        <v>64.5</v>
      </c>
      <c r="E149" s="580">
        <f>E148+C149-D149</f>
        <v/>
      </c>
      <c r="G149" s="0" t="inlineStr">
        <is>
          <t>G铁建82C</t>
        </is>
      </c>
      <c r="H149" s="0" t="inlineStr">
        <is>
          <t>266500.SH</t>
        </is>
      </c>
      <c r="I149" s="117" t="n">
        <v>46120</v>
      </c>
      <c r="J149" s="0" t="n">
        <v>750</v>
      </c>
      <c r="K149" s="579" t="n">
        <v>100.461</v>
      </c>
      <c r="L149" s="586" t="n">
        <v>101.2318</v>
      </c>
      <c r="M149" s="565">
        <f>+(L149-K149)*J149/100</f>
        <v/>
      </c>
      <c r="N149" s="564">
        <f>+K149*J149/100</f>
        <v/>
      </c>
      <c r="O149" s="564" t="inlineStr">
        <is>
          <t>元康盛景28号 刘靖涛3003993899</t>
        </is>
      </c>
      <c r="P149" s="0">
        <f>G149&amp;"["&amp;H149&amp;"]，"&amp;J149&amp;"w，"&amp;K149&amp;"，"&amp;TEXT(I149,"m月d日")&amp;"，"&amp;"【】"&amp;" to "&amp;O149</f>
        <v/>
      </c>
      <c r="Q149" s="0" t="inlineStr">
        <is>
          <t>G铁建82C[266500.SH]，750w，100.461，4月8日，【】 to 元康盛景28号 刘靖涛3003993899</t>
        </is>
      </c>
    </row>
    <row r="150">
      <c r="A150" s="156" t="n">
        <v>46120</v>
      </c>
      <c r="B150" s="112" t="inlineStr">
        <is>
          <t>应付税费</t>
        </is>
      </c>
      <c r="C150" s="112" t="n"/>
      <c r="D150" s="112" t="n">
        <v>14</v>
      </c>
      <c r="E150" s="580">
        <f>E149+C150-D150</f>
        <v/>
      </c>
      <c r="I150" s="0" t="n"/>
      <c r="J150" s="0" t="n"/>
      <c r="K150" s="564" t="n"/>
      <c r="L150" s="565" t="n"/>
      <c r="M150" s="587">
        <f>SUM(M147:M149)</f>
        <v/>
      </c>
      <c r="N150" s="587">
        <f>SUM(N147:N149)</f>
        <v/>
      </c>
      <c r="O150" s="564" t="n"/>
    </row>
    <row r="151">
      <c r="A151" s="156" t="n"/>
      <c r="B151" s="112" t="n"/>
      <c r="C151" s="112" t="n"/>
      <c r="D151" s="112" t="n"/>
      <c r="E151" s="580">
        <f>E150+C151-D151</f>
        <v/>
      </c>
      <c r="G151" s="0" t="inlineStr">
        <is>
          <t>铁建061C</t>
        </is>
      </c>
      <c r="H151" s="0" t="inlineStr">
        <is>
          <t>260663.SH</t>
        </is>
      </c>
      <c r="I151" s="117" t="n">
        <v>46120</v>
      </c>
      <c r="J151" s="0">
        <f>975-J148</f>
        <v/>
      </c>
      <c r="K151" s="579" t="n">
        <v>111.938</v>
      </c>
      <c r="L151" s="586">
        <f>+L148</f>
        <v/>
      </c>
      <c r="M151" s="565">
        <f>+(L151-K151)*J151/100</f>
        <v/>
      </c>
      <c r="N151" s="564">
        <f>+K151*J151/100</f>
        <v/>
      </c>
      <c r="O151" s="564" t="inlineStr">
        <is>
          <t>外贸信托-元康盛景1号 赵婷婷 qt2850551246</t>
        </is>
      </c>
      <c r="P151" s="0">
        <f>G151&amp;"["&amp;H151&amp;"]，"&amp;J151&amp;"w，"&amp;K151&amp;"，"&amp;TEXT(I151,"m月d日")&amp;"，"&amp;"【】"&amp;" to "&amp;O151</f>
        <v/>
      </c>
      <c r="Q151" s="0" t="inlineStr">
        <is>
          <t>铁建061C[260663.SH]，655w，111.938，4月8日，【】 to 外贸信托-元康盛景1号 赵婷婷 qt2850551246</t>
        </is>
      </c>
    </row>
    <row r="152">
      <c r="A152" s="156" t="n">
        <v>46121</v>
      </c>
      <c r="B152" s="112" t="inlineStr">
        <is>
          <t>大业信托</t>
        </is>
      </c>
      <c r="C152" s="112" t="n">
        <v>2000</v>
      </c>
      <c r="D152" s="112" t="n"/>
      <c r="E152" s="580">
        <f>E151+C152-D152</f>
        <v/>
      </c>
      <c r="G152" s="0" t="inlineStr">
        <is>
          <t>G铁建82C</t>
        </is>
      </c>
      <c r="H152" s="0" t="inlineStr">
        <is>
          <t>266500.SH</t>
        </is>
      </c>
      <c r="I152" s="117" t="n">
        <v>46120</v>
      </c>
      <c r="J152" s="0">
        <f>1775-J149</f>
        <v/>
      </c>
      <c r="K152" s="579" t="n">
        <v>100.461</v>
      </c>
      <c r="L152" s="586" t="n">
        <v>101.2318</v>
      </c>
      <c r="M152" s="565">
        <f>+(L152-K152)*J152/100</f>
        <v/>
      </c>
      <c r="N152" s="564">
        <f>+K152*J152/100</f>
        <v/>
      </c>
      <c r="O152" s="564" t="inlineStr">
        <is>
          <t>外贸信托-元康盛景1号 赵婷婷 qt2850551246</t>
        </is>
      </c>
      <c r="P152" s="0">
        <f>G152&amp;"["&amp;H152&amp;"]，"&amp;J152&amp;"w，"&amp;K152&amp;"，"&amp;TEXT(I152,"m月d日")&amp;"，"&amp;"【】"&amp;" to "&amp;O152</f>
        <v/>
      </c>
      <c r="Q152" s="0" t="inlineStr">
        <is>
          <t>G铁建82C[266500.SH]，1025w，100.461，4月8日，【】 to 外贸信托-元康盛景1号 赵婷婷 qt2850551246</t>
        </is>
      </c>
    </row>
    <row r="153">
      <c r="A153" s="156" t="n">
        <v>46122</v>
      </c>
      <c r="B153" s="112" t="inlineStr">
        <is>
          <t>5美意4次</t>
        </is>
      </c>
      <c r="C153" s="112" t="n"/>
      <c r="D153" s="112">
        <f>100*107.902/100</f>
        <v/>
      </c>
      <c r="E153" s="580">
        <f>E152+C153-D153</f>
        <v/>
      </c>
      <c r="F153" s="0" t="inlineStr">
        <is>
          <t>4/10，5美意4次，263707.SH，100w，净价107.902,  国泰海通樊文娟 to 元康盛景28号 刘靖涛3003993899</t>
        </is>
      </c>
      <c r="I153" s="0" t="n"/>
      <c r="J153" s="0" t="n"/>
      <c r="K153" s="564" t="n"/>
      <c r="L153" s="565" t="n"/>
      <c r="M153" s="587">
        <f>SUM(M151:M152)</f>
        <v/>
      </c>
      <c r="N153" s="587">
        <f>SUM(N151:N152)</f>
        <v/>
      </c>
    </row>
    <row r="154">
      <c r="A154" s="156" t="n">
        <v>46122</v>
      </c>
      <c r="B154" s="112" t="inlineStr">
        <is>
          <t>归还回购</t>
        </is>
      </c>
      <c r="C154" s="112" t="n"/>
      <c r="D154" s="112" t="n">
        <v>1500</v>
      </c>
      <c r="E154" s="580">
        <f>E153+C154-D154</f>
        <v/>
      </c>
      <c r="F154" s="0" t="inlineStr">
        <is>
          <t>安远回购换券</t>
        </is>
      </c>
      <c r="I154" s="0" t="n"/>
      <c r="J154" s="0" t="n"/>
      <c r="K154" s="564" t="n"/>
      <c r="L154" s="565" t="n"/>
      <c r="M154" s="587" t="n"/>
      <c r="N154" s="587" t="n"/>
    </row>
    <row r="155">
      <c r="A155" s="156" t="n">
        <v>46122</v>
      </c>
      <c r="B155" s="112" t="inlineStr">
        <is>
          <t>新增回购</t>
        </is>
      </c>
      <c r="C155" s="112" t="n">
        <v>1500</v>
      </c>
      <c r="D155" s="112" t="n"/>
      <c r="E155" s="580">
        <f>E154+C155-D155</f>
        <v/>
      </c>
      <c r="F155" s="0" t="inlineStr">
        <is>
          <t>安远回购换券</t>
        </is>
      </c>
      <c r="I155" s="0" t="n"/>
      <c r="J155" s="0" t="n"/>
      <c r="K155" s="564" t="n"/>
      <c r="L155" s="565" t="n"/>
      <c r="M155" s="587" t="n"/>
      <c r="N155" s="587" t="n"/>
    </row>
    <row r="156">
      <c r="A156" s="156" t="n">
        <v>46125</v>
      </c>
      <c r="B156" s="112" t="inlineStr">
        <is>
          <t>爱建申购</t>
        </is>
      </c>
      <c r="C156" s="112" t="n">
        <v>2500</v>
      </c>
      <c r="D156" s="112" t="n"/>
      <c r="E156" s="580">
        <f>E155+C156-D156</f>
        <v/>
      </c>
      <c r="F156" s="0" t="inlineStr">
        <is>
          <t>需加急</t>
        </is>
      </c>
      <c r="I156" s="0" t="n"/>
      <c r="J156" s="0" t="n"/>
      <c r="K156" s="564" t="n"/>
      <c r="L156" s="565" t="n"/>
      <c r="M156" s="587" t="n"/>
      <c r="N156" s="587" t="n"/>
    </row>
    <row r="157">
      <c r="A157" s="156" t="n"/>
      <c r="B157" s="112" t="n"/>
      <c r="C157" s="112" t="n"/>
      <c r="D157" s="112" t="n"/>
      <c r="E157" s="580">
        <f>E156+C157-D157</f>
        <v/>
      </c>
      <c r="I157" s="0" t="n"/>
      <c r="J157" s="0" t="n"/>
      <c r="K157" s="564" t="n"/>
      <c r="L157" s="565" t="n"/>
      <c r="M157" s="565" t="n"/>
      <c r="N157" s="564" t="n"/>
    </row>
    <row r="158">
      <c r="A158" s="156" t="n">
        <v>46125</v>
      </c>
      <c r="B158" s="112" t="inlineStr">
        <is>
          <t>潍坊次级</t>
        </is>
      </c>
      <c r="C158" s="112" t="n"/>
      <c r="D158" s="112" t="n">
        <v>100</v>
      </c>
      <c r="E158" s="580">
        <f>E157+C158-D158</f>
        <v/>
      </c>
      <c r="F158" s="0" t="inlineStr">
        <is>
          <t>26潍信3C【500668】，100w，413缴款，414起息，票面收益6.5%，元康盛景28号</t>
        </is>
      </c>
      <c r="I158" s="0" t="n"/>
      <c r="J158" s="0" t="n"/>
      <c r="K158" s="564" t="n"/>
      <c r="L158" s="565" t="n"/>
      <c r="M158" s="565" t="n"/>
      <c r="N158" s="564" t="n"/>
    </row>
    <row r="159">
      <c r="A159" s="156" t="n">
        <v>46125</v>
      </c>
      <c r="B159" s="112" t="inlineStr">
        <is>
          <t>锦盛3号次级</t>
        </is>
      </c>
      <c r="C159" s="112" t="n"/>
      <c r="D159" s="112" t="n">
        <v>1600</v>
      </c>
      <c r="E159" s="580">
        <f>E158+C159-D159</f>
        <v/>
      </c>
      <c r="F159" s="0" t="inlineStr">
        <is>
          <t>锦盛3次，268081.SH，4/13一级缴款，预期收益率5.70%，1600w</t>
        </is>
      </c>
    </row>
    <row r="160">
      <c r="A160" s="156" t="n">
        <v>46125</v>
      </c>
      <c r="B160" s="112" t="inlineStr">
        <is>
          <t>G铁建82C</t>
        </is>
      </c>
      <c r="C160" s="112" t="n"/>
      <c r="D160" s="112">
        <f>1082*1.01</f>
        <v/>
      </c>
      <c r="E160" s="580">
        <f>E159+C160-D160</f>
        <v/>
      </c>
      <c r="F160" s="0" t="inlineStr">
        <is>
          <t>G铁建82C[266500.SH]，1082w，101.074，4月13日，【方田维纳3号 Z13506】to 元康盛景28号 Z06308，约定号：663</t>
        </is>
      </c>
    </row>
    <row r="161">
      <c r="A161" s="156" t="n"/>
      <c r="B161" s="112" t="n"/>
      <c r="C161" s="112" t="n"/>
      <c r="D161" s="112" t="n"/>
      <c r="E161" s="580">
        <f>E160+C161-D161</f>
        <v/>
      </c>
      <c r="F161" s="0" t="inlineStr">
        <is>
          <t>5.5%dd</t>
        </is>
      </c>
      <c r="G161" s="0" t="inlineStr">
        <is>
          <t>1、4/15 小鹏4次 146862.SZ 150,000.00  101.2000 粤财信托·鹏雅8号（交易商代码：000170   交易员代码：004Q0001  交易主体代码：3600000004）to 【元康盛景28号 （交易商代码：000262；交易主体代码: 3600000001；交易员代码：007A0001 ）】</t>
        </is>
      </c>
    </row>
    <row r="162">
      <c r="A162" s="156" t="n">
        <v>46126</v>
      </c>
      <c r="B162" s="112" t="inlineStr">
        <is>
          <t>平安普惠兑付</t>
        </is>
      </c>
      <c r="C162" s="112" t="n">
        <v>338.7</v>
      </c>
      <c r="E162" s="584">
        <f>E161+C162-D162</f>
        <v/>
      </c>
    </row>
    <row r="163">
      <c r="E163" s="584">
        <f>E162+C163-D163</f>
        <v/>
      </c>
    </row>
    <row r="164">
      <c r="A164" s="156" t="n"/>
      <c r="B164" s="112" t="n"/>
      <c r="C164" s="112" t="n"/>
      <c r="D164" s="112" t="n"/>
      <c r="E164" s="580">
        <f>E163+C164-D164</f>
        <v/>
      </c>
    </row>
    <row r="165">
      <c r="A165" s="156" t="n">
        <v>46127</v>
      </c>
      <c r="B165" s="112" t="inlineStr">
        <is>
          <t>小鹏4次</t>
        </is>
      </c>
      <c r="C165" s="112" t="n"/>
      <c r="D165" s="112">
        <f>1500*101.2%</f>
        <v/>
      </c>
      <c r="E165" s="580">
        <f>E164+C165-D165</f>
        <v/>
      </c>
    </row>
    <row r="166">
      <c r="A166" s="156" t="n">
        <v>46127</v>
      </c>
      <c r="B166" s="112" t="inlineStr">
        <is>
          <t>新增回购</t>
        </is>
      </c>
      <c r="C166" s="112" t="n">
        <v>550</v>
      </c>
      <c r="D166" s="112" t="n"/>
      <c r="E166" s="580">
        <f>E165+C166-D166</f>
        <v/>
      </c>
      <c r="F166" s="0" t="inlineStr">
        <is>
          <t>1、借550.4w，3.5%，2d，2026-4-15~2026-4-17；押券工鑫42次，267033.SH，688w，80%；正回购方：元康盛景28号 Z06308，逆回购方：【】</t>
        </is>
      </c>
      <c r="I166" s="564" t="n"/>
      <c r="J166" s="565" t="n"/>
      <c r="K166" s="565" t="n"/>
      <c r="L166" s="564" t="n"/>
    </row>
    <row r="167">
      <c r="A167" s="156" t="n">
        <v>46127</v>
      </c>
      <c r="B167" s="112" t="inlineStr">
        <is>
          <t>阳光金科稳健11赎回</t>
        </is>
      </c>
      <c r="C167" s="112" t="n"/>
      <c r="D167" s="112" t="n">
        <v>987.71818</v>
      </c>
      <c r="E167" s="580">
        <f>E166+C167-D167</f>
        <v/>
      </c>
    </row>
    <row r="168">
      <c r="A168" s="156" t="n">
        <v>46129</v>
      </c>
      <c r="B168" s="112" t="inlineStr">
        <is>
          <t>五矿申购</t>
        </is>
      </c>
      <c r="C168" s="112" t="n">
        <v>800</v>
      </c>
      <c r="D168" s="112" t="n"/>
      <c r="E168" s="580">
        <f>E167+C168-D168</f>
        <v/>
      </c>
    </row>
    <row r="169">
      <c r="A169" s="156" t="n">
        <v>46129</v>
      </c>
      <c r="B169" s="112" t="inlineStr">
        <is>
          <t>回购归还</t>
        </is>
      </c>
      <c r="C169" s="112" t="n"/>
      <c r="D169" s="112" t="n">
        <v>550</v>
      </c>
      <c r="E169" s="580">
        <f>E168+C169-D169</f>
        <v/>
      </c>
    </row>
    <row r="170">
      <c r="A170" s="156" t="n">
        <v>46129</v>
      </c>
      <c r="B170" s="112" t="inlineStr">
        <is>
          <t>熠然04A3</t>
        </is>
      </c>
      <c r="C170" s="112" t="n">
        <v>2754</v>
      </c>
      <c r="D170" s="112" t="n"/>
      <c r="E170" s="580">
        <f>E169+C170-D170</f>
        <v/>
      </c>
      <c r="F170" s="562" t="inlineStr">
        <is>
          <t>熠然04A3[146002.SZ]，2940w，93.656，4月17日，元康盛景28号 刘靖涛3003993899 to 粤开证券 许逸潇2881647849</t>
        </is>
      </c>
      <c r="G170" s="562" t="inlineStr">
        <is>
          <t>熠然04A3[146002.SZ]，2940w，93.661，4月17日，粤开证券 许逸潇2881647849 to 天风证券 李泽堃3007354220</t>
        </is>
      </c>
    </row>
    <row r="171">
      <c r="A171" s="156" t="n"/>
      <c r="B171" s="112" t="n"/>
      <c r="C171" s="112" t="n"/>
      <c r="D171" s="112" t="n"/>
      <c r="E171" s="580">
        <f>E170+C171-D171</f>
        <v/>
      </c>
    </row>
    <row r="172">
      <c r="A172" s="156" t="n"/>
      <c r="B172" s="112" t="n"/>
      <c r="C172" s="112" t="n"/>
      <c r="D172" s="112" t="n"/>
      <c r="E172" s="580">
        <f>E171+C172-D172</f>
        <v/>
      </c>
    </row>
    <row r="173">
      <c r="A173" s="156" t="n">
        <v>46129</v>
      </c>
      <c r="B173" s="112" t="inlineStr">
        <is>
          <t>小鹏5次</t>
        </is>
      </c>
      <c r="C173" s="112" t="n">
        <v>500</v>
      </c>
      <c r="D173" s="112" t="n"/>
      <c r="E173" s="580">
        <f>E172+C173-D173</f>
        <v/>
      </c>
      <c r="F173" s="562" t="inlineStr">
        <is>
          <t>小鹏5次[500447.SZ]，500w，101.225，4月17日，元康盛景28号 刘靖涛3003993899  to 粤开证券 许逸潇2881647849</t>
        </is>
      </c>
      <c r="G173" s="562" t="inlineStr">
        <is>
          <t>小鹏5次[500447.SZ]，500w，101.23，4月17日，粤开证券 许逸潇2881647849  to 天风证券 李泽堃3007354220</t>
        </is>
      </c>
    </row>
    <row r="174">
      <c r="A174" s="156" t="n"/>
      <c r="B174" s="112" t="n"/>
      <c r="C174" s="112" t="n"/>
      <c r="D174" s="112" t="n"/>
      <c r="E174" s="580">
        <f>E173+C174-D174</f>
        <v/>
      </c>
    </row>
    <row r="175">
      <c r="A175" s="156" t="n"/>
      <c r="B175" s="112" t="n"/>
      <c r="C175" s="112" t="n"/>
      <c r="D175" s="112" t="n"/>
      <c r="E175" s="580">
        <f>E174+C175-D175</f>
        <v/>
      </c>
      <c r="F175" s="562" t="inlineStr">
        <is>
          <t>惠鑫壹6B，268306，1200w，1.7%，4-20缴款，4-21起息；元康盛景28号</t>
        </is>
      </c>
    </row>
    <row r="176">
      <c r="A176" s="156" t="n">
        <v>46132</v>
      </c>
      <c r="B176" s="112" t="inlineStr">
        <is>
          <t>美团惠鑫6</t>
        </is>
      </c>
      <c r="C176" s="112" t="n"/>
      <c r="D176" s="112" t="n">
        <v>2200</v>
      </c>
      <c r="E176" s="580">
        <f>E175+C176-D176</f>
        <v/>
      </c>
      <c r="F176" s="562" t="inlineStr">
        <is>
          <t>惠鑫壹6C，1000w，4.7%xirr，4-20缴款，4-21起息；元康盛景28号</t>
        </is>
      </c>
    </row>
    <row r="177">
      <c r="A177" s="156" t="n">
        <v>46132</v>
      </c>
      <c r="B177" s="112" t="inlineStr">
        <is>
          <t>启臻1次</t>
        </is>
      </c>
      <c r="C177" s="578" t="n">
        <v>302.955</v>
      </c>
      <c r="D177" s="112" t="n"/>
      <c r="E177" s="580">
        <f>E176+C177-D177</f>
        <v/>
      </c>
      <c r="F177" s="562" t="inlineStr">
        <is>
          <t>启臻1次[266524.SH]，300w，100.975，4月20日，元康盛景28号 刘靖涛3003993899 to 中信证券 赵恒昆3004076439
启臻1次[266524.SH]，300w，100.981，4月20日，中信证券 赵恒昆3004076439 to 粤开证券 许逸潇2881647849</t>
        </is>
      </c>
    </row>
    <row r="178">
      <c r="A178" s="156" t="n">
        <v>46132</v>
      </c>
      <c r="B178" s="112" t="inlineStr">
        <is>
          <t>启悦15次</t>
        </is>
      </c>
      <c r="C178" s="578" t="n">
        <v>312.837</v>
      </c>
      <c r="D178" s="112" t="n"/>
      <c r="E178" s="580">
        <f>E177+C178-D178</f>
        <v/>
      </c>
      <c r="F178" s="562" t="inlineStr">
        <is>
          <t>启悦15次[146285.SZ]，300w，104.269，4月20日， 元康盛景28号 刘靖涛3003993899 to 中信证券 赵恒昆3004076439
启悦15次[146285.SZ]，300w，104.275，4月20日， 中信证券 赵恒昆3004076439 to 粤开证券 许逸潇2881647849</t>
        </is>
      </c>
    </row>
    <row r="179">
      <c r="A179" s="156" t="n">
        <v>46132</v>
      </c>
      <c r="B179" s="112" t="inlineStr">
        <is>
          <t>启恒1次</t>
        </is>
      </c>
      <c r="C179" s="578" t="n">
        <v>503.955</v>
      </c>
      <c r="D179" s="112" t="n"/>
      <c r="E179" s="580">
        <f>E178+C179-D179</f>
        <v/>
      </c>
      <c r="F179" s="562" t="inlineStr">
        <is>
          <t>启恒1次[500486.SZ]，500w，100.781，4月20日， 元康盛景28号 刘靖涛3003993899 to 中信证券 赵恒昆3004076439
启恒1次[500486.SZ]，500w，100.787，4月20日， 中信证券 赵恒昆3004076439 to 粤开证券 许逸潇2881647849</t>
        </is>
      </c>
    </row>
    <row r="180">
      <c r="A180" s="156" t="n">
        <v>46132</v>
      </c>
      <c r="B180" s="0" t="inlineStr">
        <is>
          <t>税费</t>
        </is>
      </c>
      <c r="D180" s="0" t="n">
        <v>13.93</v>
      </c>
      <c r="E180" s="580">
        <f>E179+C180-D180</f>
        <v/>
      </c>
    </row>
    <row r="181">
      <c r="A181" s="156" t="n">
        <v>46132</v>
      </c>
      <c r="B181" s="454" t="inlineStr">
        <is>
          <t>新增回购</t>
        </is>
      </c>
      <c r="C181" s="112" t="n">
        <v>3100</v>
      </c>
      <c r="D181" s="112" t="n"/>
      <c r="E181" s="580">
        <f>E180+C181-D181</f>
        <v/>
      </c>
    </row>
    <row r="182">
      <c r="A182" s="252" t="n">
        <v>46133</v>
      </c>
      <c r="B182" s="253" t="inlineStr">
        <is>
          <t>荟臻032C归还回购</t>
        </is>
      </c>
      <c r="C182" s="253" t="n"/>
      <c r="D182" s="253" t="n">
        <v>1402</v>
      </c>
      <c r="E182" s="580">
        <f>E181+C182-D182</f>
        <v/>
      </c>
      <c r="K182" s="565" t="inlineStr">
        <is>
          <t>后手</t>
        </is>
      </c>
      <c r="L182" s="564" t="inlineStr">
        <is>
          <t>前手</t>
        </is>
      </c>
      <c r="N182" s="0" t="inlineStr">
        <is>
          <t>收益率</t>
        </is>
      </c>
    </row>
    <row r="183">
      <c r="A183" s="156" t="n">
        <v>46133</v>
      </c>
      <c r="B183" s="112" t="inlineStr">
        <is>
          <t>中交租赁</t>
        </is>
      </c>
      <c r="C183" s="112" t="n"/>
      <c r="D183" s="112" t="n">
        <v>3424</v>
      </c>
      <c r="E183" s="580">
        <f>E182+C183-D183</f>
        <v/>
      </c>
      <c r="F183" s="562" t="inlineStr">
        <is>
          <t>1、24JZ1C[262949.SH],1325W，103全价，4-21日，国泰海通  to 元康盛景28号 刘靖涛3003993899
2、24JZ3C[262988.SH]，2000w，103全价，4-21日，国泰海通  to 元康盛景28号 刘靖涛3003993899</t>
        </is>
      </c>
      <c r="G183" s="0" t="inlineStr">
        <is>
          <t>4月17后</t>
        </is>
      </c>
      <c r="H183" s="298" t="inlineStr">
        <is>
          <t>小鹏次</t>
        </is>
      </c>
      <c r="I183" s="298" t="n"/>
      <c r="J183" s="588" t="n">
        <v>460</v>
      </c>
      <c r="K183" s="589" t="inlineStr">
        <is>
          <t>给中建投</t>
        </is>
      </c>
      <c r="L183" s="590" t="inlineStr">
        <is>
          <t>元康28</t>
        </is>
      </c>
      <c r="N183" s="464" t="n">
        <v>0.068</v>
      </c>
      <c r="O183" s="464">
        <f>SUMPRODUCT(N183:N185,J183:J185)/SUM(J183:J185)</f>
        <v/>
      </c>
      <c r="Q183" s="0" t="inlineStr">
        <is>
          <t>中建投</t>
        </is>
      </c>
      <c r="R183" s="0" t="n">
        <v>5300</v>
      </c>
    </row>
    <row r="184">
      <c r="A184" s="156" t="n">
        <v>46134</v>
      </c>
      <c r="B184" s="112" t="inlineStr">
        <is>
          <t>睿铭3次</t>
        </is>
      </c>
      <c r="C184" s="112" t="n">
        <v>84.63120000000001</v>
      </c>
      <c r="D184" s="112" t="n"/>
      <c r="E184" s="580">
        <f>E183+C184-D184</f>
        <v/>
      </c>
      <c r="F184" s="562" t="inlineStr">
        <is>
          <t>4/22，睿铭3次，264171.SH，80w，净价105.784，元康28号 刘靖涛qt3003993899 to 粤开证券 许逸潇2881647849</t>
        </is>
      </c>
      <c r="G184" s="117" t="n">
        <v>46136</v>
      </c>
      <c r="H184" s="298" t="inlineStr">
        <is>
          <t>蔚能</t>
        </is>
      </c>
      <c r="I184" s="298" t="n"/>
      <c r="J184" s="588" t="n">
        <v>2500</v>
      </c>
      <c r="K184" s="589" t="n"/>
      <c r="L184" s="590" t="n"/>
      <c r="N184" s="464" t="n"/>
    </row>
    <row r="185">
      <c r="A185" s="156" t="n">
        <v>46134</v>
      </c>
      <c r="B185" s="112" t="inlineStr">
        <is>
          <t>金城兑付</t>
        </is>
      </c>
      <c r="C185" s="112" t="n">
        <v>179</v>
      </c>
      <c r="D185" s="112" t="n"/>
      <c r="E185" s="580">
        <f>E184+C185-D185</f>
        <v/>
      </c>
      <c r="F185" s="562" t="n"/>
      <c r="G185" s="117" t="n">
        <v>46132</v>
      </c>
      <c r="H185" s="0" t="inlineStr">
        <is>
          <t>远东夹层</t>
        </is>
      </c>
      <c r="J185" s="563" t="n">
        <v>2000</v>
      </c>
      <c r="K185" s="565" t="inlineStr">
        <is>
          <t>中建投？</t>
        </is>
      </c>
      <c r="N185" s="464" t="n">
        <v>0.03</v>
      </c>
    </row>
    <row r="186">
      <c r="A186" s="156" t="n">
        <v>46134</v>
      </c>
      <c r="B186" s="112" t="inlineStr">
        <is>
          <t>阳光金科稳健11赎回</t>
        </is>
      </c>
      <c r="C186" s="112" t="n"/>
      <c r="D186" s="112">
        <f>587.8*1.1225</f>
        <v/>
      </c>
      <c r="E186" s="580">
        <f>E185+C186-D186</f>
        <v/>
      </c>
      <c r="G186" s="117" t="n"/>
    </row>
    <row r="187">
      <c r="A187" s="156" t="n">
        <v>46134</v>
      </c>
      <c r="B187" s="112" t="inlineStr">
        <is>
          <t>阳光金科配置3号赎回</t>
        </is>
      </c>
      <c r="C187" s="112" t="n"/>
      <c r="D187" s="112">
        <f>276*1.1225</f>
        <v/>
      </c>
      <c r="E187" s="580">
        <f>E186+C187-D187</f>
        <v/>
      </c>
      <c r="G187" s="117" t="n"/>
    </row>
    <row r="188">
      <c r="A188" s="156" t="n"/>
      <c r="B188" s="112" t="n"/>
      <c r="C188" s="112" t="n"/>
      <c r="D188" s="112" t="n"/>
      <c r="E188" s="580">
        <f>E187+C188-D188</f>
        <v/>
      </c>
      <c r="G188" s="117" t="n"/>
      <c r="I188" s="463" t="n">
        <v>0.1739130434782609</v>
      </c>
      <c r="J188" s="565" t="inlineStr">
        <is>
          <t>份额</t>
        </is>
      </c>
      <c r="K188" s="565" t="inlineStr">
        <is>
          <t>净价</t>
        </is>
      </c>
      <c r="L188" s="564" t="inlineStr">
        <is>
          <t>全价</t>
        </is>
      </c>
      <c r="M188" s="0" t="inlineStr">
        <is>
          <t>交易日期</t>
        </is>
      </c>
      <c r="N188" s="0" t="inlineStr">
        <is>
          <t>金额</t>
        </is>
      </c>
      <c r="O188" s="0" t="inlineStr">
        <is>
          <t>上个计息日</t>
        </is>
      </c>
      <c r="Q188" s="0" t="inlineStr">
        <is>
          <t>后手收益率</t>
        </is>
      </c>
    </row>
    <row r="189">
      <c r="A189" s="156" t="n"/>
      <c r="B189" s="112" t="n"/>
      <c r="C189" s="112" t="n"/>
      <c r="D189" s="112" t="n"/>
      <c r="E189" s="580">
        <f>E188+C189-D189</f>
        <v/>
      </c>
      <c r="G189" s="117" t="n"/>
      <c r="I189" s="564" t="inlineStr">
        <is>
          <t>5美好3次</t>
        </is>
      </c>
      <c r="J189" s="564" t="n">
        <v>100</v>
      </c>
      <c r="K189" s="579">
        <f>100*(1+P189*(M189-O189)/365)</f>
        <v/>
      </c>
      <c r="L189" s="579">
        <f>+K189</f>
        <v/>
      </c>
      <c r="M189" s="117" t="n">
        <v>46135</v>
      </c>
      <c r="N189" s="579">
        <f>ROUND(L189*J189/100,3)</f>
        <v/>
      </c>
      <c r="O189" s="1" t="n">
        <v>45562</v>
      </c>
      <c r="P189" s="150" t="n">
        <v>0.059</v>
      </c>
    </row>
    <row r="190">
      <c r="A190" s="156" t="n"/>
      <c r="B190" s="112" t="n"/>
      <c r="C190" s="112" t="n"/>
      <c r="D190" s="112" t="n"/>
      <c r="E190" s="580">
        <f>E189+C190-D190</f>
        <v/>
      </c>
      <c r="I190" s="564" t="inlineStr">
        <is>
          <t>24惠民4B</t>
        </is>
      </c>
      <c r="J190" s="564" t="n">
        <v>50</v>
      </c>
      <c r="K190" s="579" t="n">
        <v>100.5</v>
      </c>
      <c r="L190" s="579">
        <f>ROUND(5.6*(M190-O190+1)/365+K190,3)</f>
        <v/>
      </c>
      <c r="M190" s="117" t="n">
        <v>46135</v>
      </c>
      <c r="N190" s="579">
        <f>ROUND(L190*J190/100,3)</f>
        <v/>
      </c>
      <c r="O190" s="117" t="n">
        <v>46108</v>
      </c>
      <c r="Q190" s="150" t="n">
        <v>0.0479</v>
      </c>
    </row>
    <row r="191">
      <c r="A191" s="156" t="n">
        <v>46135</v>
      </c>
      <c r="B191" s="112" t="inlineStr">
        <is>
          <t>小鹏5次</t>
        </is>
      </c>
      <c r="C191" s="112" t="n">
        <v>2000</v>
      </c>
      <c r="D191" s="112" t="n"/>
      <c r="E191" s="580">
        <f>E190+C191-D191</f>
        <v/>
      </c>
      <c r="F191" s="562" t="inlineStr">
        <is>
          <t>小鹏5次[500447.SZ]，2000w，101.063，4月23日，元康28号 刘靖涛qt3003993899  to 粤开证券 许逸潇2881647849</t>
        </is>
      </c>
      <c r="N191" s="573">
        <f>SUM(N189:N190)</f>
        <v/>
      </c>
    </row>
    <row r="192">
      <c r="A192" s="156" t="n"/>
      <c r="B192" s="112" t="n"/>
      <c r="C192" s="112" t="n"/>
      <c r="D192" s="112" t="n"/>
      <c r="E192" s="580">
        <f>E191+C192-D192</f>
        <v/>
      </c>
    </row>
    <row r="193">
      <c r="A193" s="156" t="n">
        <v>46135</v>
      </c>
      <c r="B193" s="578" t="inlineStr">
        <is>
          <t>5美好3次</t>
        </is>
      </c>
      <c r="C193" s="112" t="n"/>
      <c r="D193" s="112" t="n">
        <v>109.262</v>
      </c>
      <c r="E193" s="580">
        <f>E192+C193-D193</f>
        <v/>
      </c>
      <c r="F193" s="562" t="inlineStr">
        <is>
          <t>4/23，5美好3次，263313.SH，100w，净价109.262，国泰海通 樊文娟 to 元康28号 刘靖涛qt3003993899</t>
        </is>
      </c>
    </row>
    <row r="194">
      <c r="A194" s="156" t="n">
        <v>46135</v>
      </c>
      <c r="B194" s="578" t="inlineStr">
        <is>
          <t>24惠民4B</t>
        </is>
      </c>
      <c r="C194" s="112" t="n"/>
      <c r="D194" s="112" t="n">
        <v>50.465</v>
      </c>
      <c r="E194" s="580">
        <f>E193+C194-D194</f>
        <v/>
      </c>
      <c r="F194" s="562" t="inlineStr">
        <is>
          <t>4/23，24惠民4B，144022.SZ，50w，净价100.5，国泰海通 樊文娟 to 元康28号 刘靖涛qt3003993899</t>
        </is>
      </c>
    </row>
    <row r="195">
      <c r="A195" s="156" t="n"/>
      <c r="B195" s="112" t="n"/>
      <c r="C195" s="112" t="n"/>
      <c r="D195" s="112" t="n"/>
      <c r="E195" s="580">
        <f>E194+C195-D195</f>
        <v/>
      </c>
    </row>
    <row r="196">
      <c r="A196" s="156" t="n">
        <v>46136</v>
      </c>
      <c r="B196" s="112" t="inlineStr">
        <is>
          <t>元康1号申购</t>
        </is>
      </c>
      <c r="C196" s="112" t="n">
        <v>800</v>
      </c>
      <c r="D196" s="112" t="n"/>
      <c r="E196" s="580">
        <f>E195+C196-D196</f>
        <v/>
      </c>
      <c r="F196" s="562" t="inlineStr">
        <is>
          <t>422开放申购</t>
        </is>
      </c>
    </row>
    <row r="197">
      <c r="A197" s="156" t="n">
        <v>46136</v>
      </c>
      <c r="B197" s="112" t="inlineStr">
        <is>
          <t>爱建申购</t>
        </is>
      </c>
      <c r="C197" s="112" t="n">
        <v>500</v>
      </c>
      <c r="D197" s="112" t="n"/>
      <c r="E197" s="580">
        <f>E196+C197-D197</f>
        <v/>
      </c>
    </row>
    <row r="198">
      <c r="A198" s="156" t="n"/>
      <c r="B198" s="112" t="n"/>
      <c r="C198" s="112" t="n"/>
      <c r="D198" s="112" t="n"/>
      <c r="E198" s="580">
        <f>E197+C198-D198</f>
        <v/>
      </c>
    </row>
    <row r="199">
      <c r="A199" s="156" t="n"/>
      <c r="B199" s="112" t="n"/>
      <c r="C199" s="112" t="n"/>
      <c r="D199" s="112" t="n"/>
      <c r="E199" s="580">
        <f>E198+C199-D199</f>
        <v/>
      </c>
    </row>
    <row r="200">
      <c r="A200" s="156" t="n"/>
      <c r="B200" s="112" t="n"/>
      <c r="C200" s="112" t="n"/>
      <c r="D200" s="112" t="n"/>
      <c r="E200" s="580">
        <f>E199+C200-D200</f>
        <v/>
      </c>
    </row>
    <row r="201">
      <c r="A201" s="156" t="n"/>
      <c r="B201" s="112" t="n"/>
      <c r="C201" s="112" t="n"/>
      <c r="D201" s="112" t="n"/>
      <c r="E201" s="580">
        <f>E200+C201-D201</f>
        <v/>
      </c>
      <c r="J201" s="564" t="inlineStr">
        <is>
          <t>份额</t>
        </is>
      </c>
      <c r="K201" s="565" t="inlineStr">
        <is>
          <t>预期收益</t>
        </is>
      </c>
      <c r="L201" s="565" t="inlineStr">
        <is>
          <t>起息日</t>
        </is>
      </c>
      <c r="M201" s="564" t="inlineStr">
        <is>
          <t>期间兑付</t>
        </is>
      </c>
      <c r="N201" s="0" t="inlineStr">
        <is>
          <t>交易日期</t>
        </is>
      </c>
      <c r="O201" s="0" t="inlineStr">
        <is>
          <t>价格</t>
        </is>
      </c>
      <c r="P201" s="0" t="inlineStr">
        <is>
          <t>金额</t>
        </is>
      </c>
    </row>
    <row r="202">
      <c r="A202" s="156" t="n">
        <v>46139</v>
      </c>
      <c r="B202" s="112" t="inlineStr">
        <is>
          <t>5美意3、5美意4</t>
        </is>
      </c>
      <c r="C202" s="112" t="n">
        <v>1845.6</v>
      </c>
      <c r="D202" s="112" t="n"/>
      <c r="E202" s="580">
        <f>E201+C202-D202</f>
        <v/>
      </c>
      <c r="H202" s="0" t="inlineStr">
        <is>
          <t>ZJCF08C</t>
        </is>
      </c>
      <c r="I202" s="564" t="inlineStr">
        <is>
          <t>266715.SH</t>
        </is>
      </c>
      <c r="J202" s="564" t="n">
        <v>900</v>
      </c>
      <c r="K202" s="464" t="n">
        <v>0.055</v>
      </c>
      <c r="L202" s="266" t="n">
        <v>45951</v>
      </c>
      <c r="M202" s="564">
        <f>+S286</f>
        <v/>
      </c>
      <c r="N202" s="117" t="n">
        <v>46139</v>
      </c>
      <c r="O202" s="579">
        <f>ROUND(100*(1+K202*(N202-L202)/365)-M202,3)</f>
        <v/>
      </c>
      <c r="P202" s="573">
        <f>+O202*J202/100</f>
        <v/>
      </c>
    </row>
    <row r="203">
      <c r="A203" s="156" t="n">
        <v>46139</v>
      </c>
      <c r="B203" s="112" t="inlineStr">
        <is>
          <t>尚泽壹3C到期兑付</t>
        </is>
      </c>
      <c r="C203" s="112" t="n">
        <v>2721.6</v>
      </c>
      <c r="D203" s="112" t="n"/>
      <c r="E203" s="580">
        <f>E202+C203-D203</f>
        <v/>
      </c>
      <c r="H203" s="0" t="inlineStr">
        <is>
          <t>铁建051C</t>
        </is>
      </c>
      <c r="I203" s="564" t="inlineStr">
        <is>
          <t>199768.SH</t>
        </is>
      </c>
      <c r="J203" s="564" t="n">
        <v>337</v>
      </c>
      <c r="K203" s="464" t="n">
        <v>0.08500000000000001</v>
      </c>
      <c r="L203" s="266" t="n">
        <v>45068</v>
      </c>
      <c r="M203" s="564">
        <f>SUM(I272:I276)</f>
        <v/>
      </c>
      <c r="N203" s="117" t="n">
        <v>46139</v>
      </c>
      <c r="O203" s="579">
        <f>ROUND(100*(1+K203*(N203-L203)/365)-M203,3)</f>
        <v/>
      </c>
      <c r="P203" s="573">
        <f>+O203*J203/100</f>
        <v/>
      </c>
    </row>
    <row r="204">
      <c r="A204" s="156" t="n">
        <v>46139</v>
      </c>
      <c r="B204" s="112" t="inlineStr">
        <is>
          <t>铁建061C</t>
        </is>
      </c>
      <c r="C204" s="578" t="n">
        <v>194.7645</v>
      </c>
      <c r="D204" s="112" t="n"/>
      <c r="E204" s="580">
        <f>E203+C204-D204</f>
        <v/>
      </c>
      <c r="F204" s="0" t="inlineStr">
        <is>
          <t>给金薇</t>
        </is>
      </c>
      <c r="H204" s="0" t="inlineStr">
        <is>
          <t>铁建061C</t>
        </is>
      </c>
      <c r="I204" s="564" t="inlineStr">
        <is>
          <t>260663.SH</t>
        </is>
      </c>
      <c r="J204" s="564" t="n">
        <v>175</v>
      </c>
      <c r="K204" s="464" t="n">
        <v>0.08500000000000001</v>
      </c>
      <c r="L204" s="266" t="n">
        <v>45187</v>
      </c>
      <c r="M204" s="564">
        <f>+SUM(O286:O289)</f>
        <v/>
      </c>
      <c r="N204" s="117" t="n">
        <v>46139</v>
      </c>
      <c r="O204" s="579">
        <f>ROUND(100*(1+K204*(N204-L204)/365)-M204,3)</f>
        <v/>
      </c>
      <c r="P204" s="573">
        <f>+O204*J204/100</f>
        <v/>
      </c>
    </row>
    <row r="205">
      <c r="A205" s="156" t="n">
        <v>46139</v>
      </c>
      <c r="B205" s="112" t="inlineStr">
        <is>
          <t>铁建051C</t>
        </is>
      </c>
      <c r="C205" s="578" t="n">
        <v>379.9675</v>
      </c>
      <c r="D205" s="112" t="n"/>
      <c r="E205" s="580">
        <f>E204+C205-D205</f>
        <v/>
      </c>
      <c r="F205" s="0" t="inlineStr">
        <is>
          <t>给金薇</t>
        </is>
      </c>
      <c r="P205" s="573">
        <f>SUM(P202:P204)</f>
        <v/>
      </c>
    </row>
    <row r="206">
      <c r="A206" s="156" t="n">
        <v>46139</v>
      </c>
      <c r="B206" s="112" t="inlineStr">
        <is>
          <t>ZJCF08C</t>
        </is>
      </c>
      <c r="C206" s="578" t="n">
        <v>912.069</v>
      </c>
      <c r="D206" s="112" t="n"/>
      <c r="E206" s="580">
        <f>E205+C206-D206</f>
        <v/>
      </c>
      <c r="F206" s="0" t="inlineStr">
        <is>
          <t>给金薇</t>
        </is>
      </c>
    </row>
    <row r="207">
      <c r="A207" s="156" t="n">
        <v>46139</v>
      </c>
      <c r="B207" s="112" t="inlineStr">
        <is>
          <t>5美意5次</t>
        </is>
      </c>
      <c r="C207" s="112" t="n"/>
      <c r="D207" s="578">
        <f>105.606%*751</f>
        <v/>
      </c>
      <c r="E207" s="580">
        <f>E206+C207-D207</f>
        <v/>
      </c>
      <c r="F207" s="562" t="inlineStr">
        <is>
          <t>4/27，5美意5次，264529.SH，751w，105.606，厦门信托（林晨露） to 元康盛景28号</t>
        </is>
      </c>
    </row>
    <row r="208">
      <c r="A208" s="156" t="n">
        <v>46139</v>
      </c>
      <c r="B208" s="112" t="inlineStr">
        <is>
          <t>耘睿235C</t>
        </is>
      </c>
      <c r="C208" s="112" t="n"/>
      <c r="D208" s="578" t="n">
        <v>149</v>
      </c>
      <c r="E208" s="580">
        <f>E207+C208-D208</f>
        <v/>
      </c>
      <c r="F208" s="562" t="inlineStr">
        <is>
          <t>4/27，耘睿235C，266797.SH，149w，净价99.996，厦门信托（林晨露） to 元康盛景28号</t>
        </is>
      </c>
    </row>
    <row r="209">
      <c r="A209" s="156" t="n">
        <v>46139</v>
      </c>
      <c r="B209" s="112" t="inlineStr">
        <is>
          <t>惠民3次</t>
        </is>
      </c>
      <c r="C209" s="112" t="n"/>
      <c r="D209" s="578">
        <f>498*105.5295%</f>
        <v/>
      </c>
      <c r="E209" s="580">
        <f>E208+C209-D209</f>
        <v/>
      </c>
      <c r="F209" s="562" t="inlineStr">
        <is>
          <t>4/27，惠民3次，146305.SZ，498w，全价105.5295，厦门信托（林晨露） to 元康盛景28号</t>
        </is>
      </c>
    </row>
    <row r="210">
      <c r="A210" s="156" t="n">
        <v>46139</v>
      </c>
      <c r="B210" s="112" t="inlineStr">
        <is>
          <t>5美意5次</t>
        </is>
      </c>
      <c r="C210" s="112" t="n"/>
      <c r="D210" s="578">
        <f>92*105.91%</f>
        <v/>
      </c>
      <c r="E210" s="580">
        <f>E209+C210-D210</f>
        <v/>
      </c>
      <c r="F210" s="562" t="inlineStr">
        <is>
          <t>4/27，5美意5次，264529.SH，92w，105.91，粤财信托（吴海滨） to 元康盛景28号</t>
        </is>
      </c>
    </row>
    <row r="211">
      <c r="A211" s="156" t="n">
        <v>46139</v>
      </c>
      <c r="B211" s="112" t="inlineStr">
        <is>
          <t>惠民3次</t>
        </is>
      </c>
      <c r="C211" s="112" t="n"/>
      <c r="D211" s="578">
        <f>42*105.6101%</f>
        <v/>
      </c>
      <c r="E211" s="580">
        <f>E210+C211-D211</f>
        <v/>
      </c>
      <c r="F211" s="562" t="inlineStr">
        <is>
          <t>4/27，惠民3次，146305.SZ，42w，全价105.6101，厦门信托（林晨露） to 元康盛景28号</t>
        </is>
      </c>
    </row>
    <row r="212">
      <c r="A212" s="156" t="n"/>
      <c r="B212" s="112" t="n"/>
      <c r="C212" s="112" t="n"/>
      <c r="D212" s="112" t="n"/>
      <c r="E212" s="580">
        <f>E211+C212-D212</f>
        <v/>
      </c>
    </row>
    <row r="213">
      <c r="A213" s="156" t="n"/>
      <c r="B213" s="112" t="n"/>
      <c r="C213" s="112" t="n"/>
      <c r="D213" s="112" t="n"/>
      <c r="E213" s="580">
        <f>E212+C213-D213</f>
        <v/>
      </c>
    </row>
    <row r="214">
      <c r="A214" s="156" t="n">
        <v>46139</v>
      </c>
      <c r="B214" s="454" t="inlineStr">
        <is>
          <t>盛煜014归还回购</t>
        </is>
      </c>
      <c r="C214" s="112" t="n"/>
      <c r="D214" s="112" t="n">
        <v>472.6</v>
      </c>
      <c r="E214" s="580">
        <f>E213+C214-D214</f>
        <v/>
      </c>
    </row>
    <row r="215">
      <c r="A215" s="156" t="n">
        <v>46140</v>
      </c>
      <c r="B215" s="112" t="inlineStr">
        <is>
          <t>回款</t>
        </is>
      </c>
      <c r="C215" s="578" t="n">
        <v>176.2</v>
      </c>
      <c r="D215" s="112" t="n"/>
      <c r="E215" s="580">
        <f>E214+C215-D215</f>
        <v/>
      </c>
    </row>
    <row r="216">
      <c r="A216" s="156" t="n">
        <v>46140</v>
      </c>
      <c r="B216" s="112" t="inlineStr">
        <is>
          <t>元康17申购</t>
        </is>
      </c>
      <c r="C216" s="112" t="n">
        <v>700</v>
      </c>
      <c r="D216" s="112" t="n"/>
      <c r="E216" s="580">
        <f>E215+C216-D216</f>
        <v/>
      </c>
      <c r="F216" s="562" t="inlineStr">
        <is>
          <t>已发</t>
        </is>
      </c>
    </row>
    <row r="217">
      <c r="A217" s="156" t="n">
        <v>46140</v>
      </c>
      <c r="B217" s="112" t="inlineStr">
        <is>
          <t>小鹏5次</t>
        </is>
      </c>
      <c r="C217" s="112" t="n">
        <v>354.0670000000001</v>
      </c>
      <c r="D217" s="112" t="n"/>
      <c r="E217" s="580">
        <f>E216+C217-D217</f>
        <v/>
      </c>
      <c r="F217" s="562" t="inlineStr">
        <is>
          <t>小鹏5次[500447.SZ]，350w，101.157，4月28日，元康28号 刘靖涛qt3003993899 to 粤开证券 许逸潇2881647849</t>
        </is>
      </c>
    </row>
    <row r="218">
      <c r="A218" s="156" t="n">
        <v>46140</v>
      </c>
      <c r="B218" s="112" t="inlineStr">
        <is>
          <t>长安信托申购</t>
        </is>
      </c>
      <c r="C218" s="112" t="n">
        <v>784</v>
      </c>
      <c r="D218" s="112" t="n"/>
      <c r="E218" s="580">
        <f>E217+C218-D218</f>
        <v/>
      </c>
    </row>
    <row r="219">
      <c r="A219" s="156" t="n">
        <v>46141</v>
      </c>
      <c r="B219" s="112" t="inlineStr">
        <is>
          <t>徽商期货</t>
        </is>
      </c>
      <c r="C219" s="112" t="n">
        <v>1050</v>
      </c>
      <c r="D219" s="112" t="n"/>
      <c r="E219" s="580">
        <f>E218+C219-D219</f>
        <v/>
      </c>
    </row>
    <row r="220">
      <c r="A220" s="156" t="n">
        <v>46141</v>
      </c>
      <c r="B220" s="112" t="inlineStr">
        <is>
          <t>蔚能次A</t>
        </is>
      </c>
      <c r="C220" s="112" t="n"/>
      <c r="D220" s="112" t="n">
        <v>2000</v>
      </c>
      <c r="E220" s="580">
        <f>E219+C220-D220</f>
        <v/>
      </c>
      <c r="F220" s="562" t="inlineStr">
        <is>
          <t>已发</t>
        </is>
      </c>
    </row>
    <row r="221">
      <c r="A221" s="156" t="n">
        <v>46141</v>
      </c>
      <c r="B221" s="112" t="inlineStr">
        <is>
          <t>蔚能优先B</t>
        </is>
      </c>
      <c r="C221" s="112" t="n"/>
      <c r="D221" s="112" t="n">
        <v>3000</v>
      </c>
      <c r="E221" s="580">
        <f>E220+C221-D221</f>
        <v/>
      </c>
      <c r="F221" s="562" t="inlineStr">
        <is>
          <t>已发</t>
        </is>
      </c>
    </row>
    <row r="222">
      <c r="A222" s="156" t="n"/>
      <c r="B222" s="112" t="n"/>
      <c r="C222" s="112" t="n"/>
      <c r="D222" s="112" t="n"/>
      <c r="E222" s="580">
        <f>E221+C222-D222</f>
        <v/>
      </c>
    </row>
    <row r="223">
      <c r="A223" s="156" t="n"/>
      <c r="B223" s="112" t="n"/>
      <c r="C223" s="112" t="n"/>
      <c r="D223" s="112" t="n"/>
      <c r="E223" s="580">
        <f>E222+C223-D223</f>
        <v/>
      </c>
    </row>
    <row r="224">
      <c r="A224" s="156" t="n"/>
      <c r="B224" s="112" t="n"/>
      <c r="C224" s="578" t="n"/>
      <c r="D224" s="112" t="n"/>
      <c r="E224" s="580">
        <f>E223+C224-D224</f>
        <v/>
      </c>
      <c r="I224" s="0" t="n"/>
      <c r="J224" s="564" t="n"/>
      <c r="K224" s="0" t="n"/>
      <c r="L224" s="0" t="n"/>
      <c r="M224" s="565" t="inlineStr">
        <is>
          <t>净价</t>
        </is>
      </c>
      <c r="N224" s="564" t="inlineStr">
        <is>
          <t>全价</t>
        </is>
      </c>
      <c r="O224" s="0" t="inlineStr">
        <is>
          <t>金额</t>
        </is>
      </c>
      <c r="P224" s="0" t="inlineStr">
        <is>
          <t>预期到期日</t>
        </is>
      </c>
    </row>
    <row r="225">
      <c r="A225" s="156" t="n"/>
      <c r="B225" s="112" t="n"/>
      <c r="C225" s="578" t="n"/>
      <c r="D225" s="112" t="n"/>
      <c r="E225" s="580">
        <f>E224+C225-D225</f>
        <v/>
      </c>
      <c r="H225" s="0" t="inlineStr">
        <is>
          <t>铁建62C</t>
        </is>
      </c>
      <c r="I225" s="0" t="inlineStr">
        <is>
          <t>260771.SH</t>
        </is>
      </c>
      <c r="J225" s="564" t="n">
        <v>3800</v>
      </c>
      <c r="K225" s="464" t="n">
        <v>0.095</v>
      </c>
      <c r="L225" s="117" t="n">
        <v>46148</v>
      </c>
      <c r="M225" s="464" t="n"/>
      <c r="N225" s="579">
        <f>+元康盛景28号!I242</f>
        <v/>
      </c>
      <c r="O225" s="564">
        <f>+N225*J225/100</f>
        <v/>
      </c>
      <c r="P225" s="1" t="n">
        <v>47018</v>
      </c>
      <c r="Q225" s="0" t="inlineStr">
        <is>
          <t>元康28</t>
        </is>
      </c>
    </row>
    <row r="226">
      <c r="A226" s="156" t="n">
        <v>46141</v>
      </c>
      <c r="B226" s="112" t="inlineStr">
        <is>
          <t>GC001</t>
        </is>
      </c>
      <c r="C226" s="112" t="n"/>
      <c r="D226" s="112" t="n"/>
      <c r="E226" s="580">
        <f>E225+C226-D226</f>
        <v/>
      </c>
      <c r="F226" s="0" t="inlineStr">
        <is>
          <t>买1天逆回购</t>
        </is>
      </c>
      <c r="H226" s="0" t="inlineStr">
        <is>
          <t>工鑫29次</t>
        </is>
      </c>
      <c r="I226" s="0" t="inlineStr">
        <is>
          <t>262627.SH</t>
        </is>
      </c>
      <c r="J226" s="564" t="n">
        <v>299</v>
      </c>
      <c r="K226" s="464" t="n">
        <v>0.075</v>
      </c>
      <c r="L226" s="117" t="n">
        <v>46148</v>
      </c>
      <c r="M226" s="464" t="n"/>
      <c r="N226" s="579">
        <f>+元康盛景28号!K238</f>
        <v/>
      </c>
      <c r="O226" s="564">
        <f>+N226*J226/100</f>
        <v/>
      </c>
      <c r="P226" s="1" t="n">
        <v>46563</v>
      </c>
      <c r="Q226" s="0" t="inlineStr">
        <is>
          <t>元康28</t>
        </is>
      </c>
    </row>
    <row r="227">
      <c r="A227" s="156" t="n">
        <v>46141</v>
      </c>
      <c r="B227" s="112" t="inlineStr">
        <is>
          <t>归还回购DY03优3</t>
        </is>
      </c>
      <c r="C227" s="112" t="n"/>
      <c r="D227" s="112" t="n">
        <v>1080</v>
      </c>
      <c r="E227" s="580">
        <f>E226+C227-D227</f>
        <v/>
      </c>
      <c r="H227" s="0" t="inlineStr">
        <is>
          <t>铁建62B</t>
        </is>
      </c>
      <c r="I227" s="0" t="inlineStr">
        <is>
          <t>260770.SH</t>
        </is>
      </c>
      <c r="J227" s="564" t="n">
        <v>400</v>
      </c>
      <c r="K227" s="464" t="n">
        <v>0.08500000000000001</v>
      </c>
      <c r="L227" s="117" t="n">
        <v>46148</v>
      </c>
      <c r="M227" s="464" t="n"/>
      <c r="N227" s="579">
        <f>+元康盛景28号!M242</f>
        <v/>
      </c>
      <c r="O227" s="564">
        <f>+N227*J227/100</f>
        <v/>
      </c>
      <c r="P227" s="1" t="n">
        <v>46287</v>
      </c>
      <c r="Q227" s="0" t="inlineStr">
        <is>
          <t>元康28</t>
        </is>
      </c>
    </row>
    <row r="228">
      <c r="A228" s="156" t="n">
        <v>46142</v>
      </c>
      <c r="B228" s="112" t="inlineStr">
        <is>
          <t>熠然03A3</t>
        </is>
      </c>
      <c r="C228" s="578" t="n">
        <v>948.3730520547946</v>
      </c>
      <c r="D228" s="112" t="n"/>
      <c r="E228" s="580">
        <f>E227+C228-D228</f>
        <v/>
      </c>
      <c r="F228" s="562" t="inlineStr">
        <is>
          <t>熠然03A3[144938.SZ]，1150w，82.2834，4月30日，元康28号 刘靖涛qt3003993899 to 粤开证券 许逸潇2881647849</t>
        </is>
      </c>
      <c r="H228" s="0" t="inlineStr">
        <is>
          <t>工鑫33次</t>
        </is>
      </c>
      <c r="I228" s="0" t="inlineStr">
        <is>
          <t>263363.SH</t>
        </is>
      </c>
      <c r="J228" s="564" t="n">
        <v>1410</v>
      </c>
      <c r="K228" s="464" t="n">
        <v>0.065</v>
      </c>
      <c r="L228" s="117" t="n">
        <v>46148</v>
      </c>
      <c r="M228" s="464" t="n"/>
      <c r="N228" s="579">
        <f>+元康盛景28号!O239</f>
        <v/>
      </c>
      <c r="O228" s="564">
        <f>+N228*J228/100</f>
        <v/>
      </c>
      <c r="P228" s="1" t="n">
        <v>46654</v>
      </c>
      <c r="Q228" s="0" t="inlineStr">
        <is>
          <t>元康28</t>
        </is>
      </c>
    </row>
    <row r="229">
      <c r="A229" s="156" t="n">
        <v>46142</v>
      </c>
      <c r="B229" s="112" t="inlineStr">
        <is>
          <t>美歆6C</t>
        </is>
      </c>
      <c r="C229" s="578" t="n">
        <v>305.214</v>
      </c>
      <c r="D229" s="112" t="n"/>
      <c r="E229" s="580">
        <f>E228+C229-D229</f>
        <v/>
      </c>
      <c r="F229" s="562" t="inlineStr">
        <is>
          <t>美歆6C[267135.SH]，300w，101.733，4月30日，元康28号 刘靖涛qt3003993899 to 粤开证券 许逸潇2881647849</t>
        </is>
      </c>
      <c r="L229" s="117" t="n"/>
    </row>
    <row r="230">
      <c r="A230" s="156" t="n"/>
      <c r="B230" s="112" t="n"/>
      <c r="C230" s="112" t="n"/>
      <c r="D230" s="112" t="n"/>
      <c r="E230" s="580">
        <f>E229+C230-D230</f>
        <v/>
      </c>
      <c r="L230" s="117" t="n"/>
      <c r="O230" s="564">
        <f>SUM(O225:O229)</f>
        <v/>
      </c>
    </row>
    <row r="231">
      <c r="A231" s="156" t="n"/>
      <c r="B231" s="112" t="n"/>
      <c r="C231" s="112" t="n"/>
      <c r="D231" s="112" t="n"/>
      <c r="E231" s="580">
        <f>E230+C231-D231</f>
        <v/>
      </c>
      <c r="L231" s="117" t="n"/>
    </row>
    <row r="232">
      <c r="A232" s="156" t="n">
        <v>46142</v>
      </c>
      <c r="B232" s="112" t="inlineStr">
        <is>
          <t>元康9号申购</t>
        </is>
      </c>
      <c r="C232" s="112" t="n">
        <v>900</v>
      </c>
      <c r="D232" s="112" t="n"/>
      <c r="E232" s="580">
        <f>E231+C232-D232</f>
        <v/>
      </c>
      <c r="L232" s="117" t="n"/>
    </row>
    <row r="233">
      <c r="A233" s="156" t="n">
        <v>46142</v>
      </c>
      <c r="B233" s="112" t="inlineStr">
        <is>
          <t>元康1号申购</t>
        </is>
      </c>
      <c r="C233" s="112" t="n">
        <v>800</v>
      </c>
      <c r="D233" s="112" t="n"/>
      <c r="E233" s="580">
        <f>E232+C233-D233</f>
        <v/>
      </c>
      <c r="F233" s="201" t="n"/>
    </row>
    <row r="234">
      <c r="A234" s="156" t="n">
        <v>46142</v>
      </c>
      <c r="B234" s="112" t="inlineStr">
        <is>
          <t>元康17号申购</t>
        </is>
      </c>
      <c r="C234" s="112" t="n">
        <v>300</v>
      </c>
      <c r="D234" s="112" t="n"/>
      <c r="E234" s="580">
        <f>E233+C234-D234</f>
        <v/>
      </c>
    </row>
    <row r="235">
      <c r="A235" s="156" t="n">
        <v>46148</v>
      </c>
      <c r="B235" s="112" t="inlineStr">
        <is>
          <t>铁建62C</t>
        </is>
      </c>
      <c r="C235" s="112" t="n"/>
      <c r="D235" s="578" t="n">
        <v>4256.684</v>
      </c>
      <c r="E235" s="580">
        <f>E234+C235-D235</f>
        <v/>
      </c>
      <c r="F235" s="0" t="inlineStr">
        <is>
          <t>金薇的券</t>
        </is>
      </c>
      <c r="H235" s="0" t="inlineStr">
        <is>
          <t>铁建62C</t>
        </is>
      </c>
      <c r="I235" s="464">
        <f>XIRR(I236:I242,H236:H242)</f>
        <v/>
      </c>
      <c r="J235" s="0" t="inlineStr">
        <is>
          <t>工鑫29次</t>
        </is>
      </c>
      <c r="K235" s="464">
        <f>XIRR(K236:K238,J236:J238)</f>
        <v/>
      </c>
      <c r="L235" s="0" t="inlineStr">
        <is>
          <t>铁建62B</t>
        </is>
      </c>
      <c r="M235" s="464">
        <f>XIRR(M236:M242,L236:L242)</f>
        <v/>
      </c>
      <c r="N235" s="0" t="inlineStr">
        <is>
          <t>工鑫33次</t>
        </is>
      </c>
      <c r="O235" s="464">
        <f>XIRR(O236:O239,N236:N239)</f>
        <v/>
      </c>
      <c r="P235" s="0" t="inlineStr">
        <is>
          <t>尚泽壹3C</t>
        </is>
      </c>
    </row>
    <row r="236">
      <c r="A236" s="156" t="n">
        <v>46148</v>
      </c>
      <c r="B236" s="112" t="inlineStr">
        <is>
          <t>工鑫29次</t>
        </is>
      </c>
      <c r="C236" s="112" t="n"/>
      <c r="D236" s="578" t="n">
        <v>331.68668</v>
      </c>
      <c r="E236" s="580">
        <f>E235+C236-D236</f>
        <v/>
      </c>
      <c r="F236" s="0" t="inlineStr">
        <is>
          <t>金薇的券</t>
        </is>
      </c>
      <c r="H236" s="1" t="n">
        <v>45191</v>
      </c>
      <c r="I236" s="564" t="n">
        <v>-100</v>
      </c>
      <c r="J236" s="266" t="n">
        <v>45470</v>
      </c>
      <c r="K236" s="565" t="n">
        <v>-100</v>
      </c>
      <c r="L236" s="1" t="n">
        <v>45191</v>
      </c>
      <c r="M236" s="564" t="n">
        <v>-100</v>
      </c>
      <c r="N236" s="266" t="n">
        <v>45561</v>
      </c>
      <c r="O236" s="565" t="n">
        <v>-100</v>
      </c>
      <c r="P236" s="1" t="n">
        <v>45742</v>
      </c>
      <c r="Q236" s="564" t="n">
        <v>-100</v>
      </c>
    </row>
    <row r="237">
      <c r="A237" s="156" t="n">
        <v>46148</v>
      </c>
      <c r="B237" s="112" t="inlineStr">
        <is>
          <t>铁建62B</t>
        </is>
      </c>
      <c r="C237" s="112" t="n"/>
      <c r="D237" s="578" t="n">
        <v>437.584</v>
      </c>
      <c r="E237" s="580">
        <f>E236+C237-D237</f>
        <v/>
      </c>
      <c r="F237" s="0" t="inlineStr">
        <is>
          <t>金薇的券</t>
        </is>
      </c>
      <c r="H237" s="1" t="n">
        <v>45404</v>
      </c>
      <c r="I237" s="564" t="n">
        <v>2.9041</v>
      </c>
      <c r="J237" s="266" t="n">
        <v>45835</v>
      </c>
      <c r="K237" s="565" t="n">
        <v>3</v>
      </c>
      <c r="L237" s="1" t="n">
        <v>45404.00049768519</v>
      </c>
      <c r="M237" s="564" t="n">
        <v>2.9041</v>
      </c>
      <c r="N237" s="266" t="n">
        <v>45834</v>
      </c>
      <c r="O237" s="565">
        <f>944640/820000</f>
        <v/>
      </c>
    </row>
    <row r="238">
      <c r="A238" s="156" t="n">
        <v>46148</v>
      </c>
      <c r="B238" s="112" t="inlineStr">
        <is>
          <t>工鑫33次</t>
        </is>
      </c>
      <c r="C238" s="112" t="n"/>
      <c r="D238" s="578" t="n">
        <v>1520.569727671233</v>
      </c>
      <c r="E238" s="580">
        <f>E237+C238-D238</f>
        <v/>
      </c>
      <c r="F238" s="0" t="inlineStr">
        <is>
          <t>金薇的券</t>
        </is>
      </c>
      <c r="H238" s="1" t="n">
        <v>45590</v>
      </c>
      <c r="I238" s="564" t="n">
        <v>2.5479</v>
      </c>
      <c r="J238" s="266" t="n">
        <v>46148</v>
      </c>
      <c r="K238" s="579">
        <f>ROUND(-K236*(1+元康盛景28号!K226*(J238-J236)/365)-K237,3)</f>
        <v/>
      </c>
      <c r="L238" s="1" t="n">
        <v>45590.00049768519</v>
      </c>
      <c r="M238" s="564" t="n">
        <v>2.5479</v>
      </c>
      <c r="N238" s="266" t="n">
        <v>45926</v>
      </c>
      <c r="O238" s="565">
        <f>1196872/820000</f>
        <v/>
      </c>
    </row>
    <row r="239">
      <c r="A239" s="156" t="n">
        <v>46148</v>
      </c>
      <c r="B239" s="454" t="inlineStr">
        <is>
          <t>盛煜014归还回购</t>
        </is>
      </c>
      <c r="C239" s="112" t="n"/>
      <c r="D239" s="112" t="n">
        <v>140</v>
      </c>
      <c r="E239" s="580">
        <f>E238+C239-D239</f>
        <v/>
      </c>
      <c r="H239" s="1" t="n">
        <v>45768</v>
      </c>
      <c r="I239" s="564" t="n">
        <v>2.4384</v>
      </c>
      <c r="J239" s="266" t="n"/>
      <c r="L239" s="1" t="n">
        <v>45768.00049768519</v>
      </c>
      <c r="M239" s="564" t="n">
        <v>2.4384</v>
      </c>
      <c r="N239" s="266" t="n">
        <v>46148</v>
      </c>
      <c r="O239" s="565">
        <f>-O236*(1+元康盛景28号!K228*(N239-N236)/365)-SUM(O237:O238)</f>
        <v/>
      </c>
    </row>
    <row r="240">
      <c r="A240" s="156" t="n">
        <v>46148</v>
      </c>
      <c r="B240" s="112" t="inlineStr">
        <is>
          <t>小鹏4次兑付</t>
        </is>
      </c>
      <c r="C240" s="112" t="n">
        <v>6.98</v>
      </c>
      <c r="D240" s="112" t="n"/>
      <c r="E240" s="580">
        <f>E239+C240-D240</f>
        <v/>
      </c>
      <c r="H240" s="1" t="n">
        <v>45958</v>
      </c>
      <c r="I240" s="564" t="n">
        <v>2.6027</v>
      </c>
      <c r="J240" s="266" t="n"/>
      <c r="L240" s="1" t="n">
        <v>45958.00049768519</v>
      </c>
      <c r="M240" s="564" t="n">
        <v>2.6027</v>
      </c>
      <c r="N240" s="266" t="n"/>
      <c r="O240" s="565" t="n"/>
    </row>
    <row r="241">
      <c r="A241" s="156" t="n">
        <v>46149</v>
      </c>
      <c r="B241" s="112" t="inlineStr">
        <is>
          <t>小鹏5次兑付</t>
        </is>
      </c>
      <c r="C241" s="112" t="n">
        <v>31.1</v>
      </c>
      <c r="D241" s="112" t="n"/>
      <c r="E241" s="580">
        <f>E240+C241-D241</f>
        <v/>
      </c>
      <c r="H241" s="1" t="n">
        <v>46133</v>
      </c>
      <c r="I241" s="564" t="n">
        <v>2.3973</v>
      </c>
      <c r="J241" s="266" t="n"/>
      <c r="L241" s="1" t="n">
        <v>46133.00049768519</v>
      </c>
      <c r="M241" s="564" t="n">
        <v>2.3973</v>
      </c>
      <c r="N241" s="565" t="n"/>
      <c r="O241" s="565" t="n"/>
    </row>
    <row r="242">
      <c r="A242" s="156" t="n">
        <v>46150</v>
      </c>
      <c r="B242" s="112" t="inlineStr">
        <is>
          <t>五矿申购</t>
        </is>
      </c>
      <c r="C242" s="112" t="n">
        <v>200</v>
      </c>
      <c r="D242" s="112" t="n"/>
      <c r="E242" s="591" t="n">
        <v>937</v>
      </c>
      <c r="H242" s="1" t="n">
        <v>46148</v>
      </c>
      <c r="I242" s="564">
        <f>ROUND(-I236*(1+元康盛景28号!K225*(H242-H236)/365)-SUM(I237:I241),3)</f>
        <v/>
      </c>
      <c r="L242" s="1" t="n">
        <v>46148</v>
      </c>
      <c r="M242" s="564">
        <f>ROUND(-M236*(1+元康盛景28号!K227*(L242-L236)/365)-SUM(M237:M241),3)</f>
        <v/>
      </c>
      <c r="N242" s="565" t="n"/>
      <c r="O242" s="565" t="n"/>
    </row>
    <row r="243">
      <c r="A243" s="156" t="n">
        <v>46153</v>
      </c>
      <c r="B243" s="112" t="inlineStr">
        <is>
          <t>阳光金科稳健11赎回</t>
        </is>
      </c>
      <c r="C243" s="112" t="n"/>
      <c r="D243" s="112" t="n">
        <v>407.9757</v>
      </c>
      <c r="E243" s="580">
        <f>E242+C243-D243</f>
        <v/>
      </c>
    </row>
    <row r="244">
      <c r="A244" s="156" t="n"/>
      <c r="B244" s="112" t="n"/>
      <c r="C244" s="112" t="n"/>
      <c r="D244" s="112" t="n"/>
      <c r="E244" s="580">
        <f>E243+C244-D244</f>
        <v/>
      </c>
    </row>
    <row r="245">
      <c r="A245" s="156" t="n">
        <v>46153</v>
      </c>
      <c r="B245" s="112" t="inlineStr">
        <is>
          <t>小鹏4次</t>
        </is>
      </c>
      <c r="C245" s="112">
        <f>1500*101.1307%</f>
        <v/>
      </c>
      <c r="D245" s="112" t="n"/>
      <c r="E245" s="580">
        <f>E244+C245-D245</f>
        <v/>
      </c>
      <c r="F245" s="562" t="inlineStr">
        <is>
          <t>5/11 小鹏4次 146862.SZ 150,000.00  101.1307【元康盛景28号 （交易商代码：000262；交易主体代码: 3600000001；交易员代码：007A0001 ）】 to 粤财信托·鹏雅8号（交易商代码：000170   交易员代码：004Q0001  交易主体代码：3600000004）</t>
        </is>
      </c>
    </row>
    <row r="246">
      <c r="A246" s="156" t="n">
        <v>46153</v>
      </c>
      <c r="B246" s="454" t="inlineStr">
        <is>
          <t>回购利息</t>
        </is>
      </c>
      <c r="C246" s="112" t="n"/>
      <c r="D246" s="112" t="n">
        <v>5.1</v>
      </c>
      <c r="E246" s="580">
        <f>E245+C246-D246</f>
        <v/>
      </c>
    </row>
    <row r="247">
      <c r="A247" s="156" t="n"/>
      <c r="B247" s="112" t="n"/>
      <c r="C247" s="112" t="n"/>
      <c r="D247" s="112" t="n"/>
      <c r="E247" s="580">
        <f>E246+C247-D247</f>
        <v/>
      </c>
    </row>
    <row r="248">
      <c r="A248" s="156" t="n"/>
      <c r="B248" s="112" t="n"/>
      <c r="C248" s="112" t="n"/>
      <c r="D248" s="112" t="n"/>
      <c r="E248" s="580">
        <f>E247+C248-D248</f>
        <v/>
      </c>
    </row>
    <row r="249">
      <c r="A249" s="156" t="n">
        <v>46154</v>
      </c>
      <c r="B249" s="112" t="inlineStr">
        <is>
          <t>爱建赎回</t>
        </is>
      </c>
      <c r="C249" s="112" t="n"/>
      <c r="D249" s="112" t="n">
        <v>1000.627</v>
      </c>
      <c r="E249" s="580">
        <f>E248+C249-D249</f>
        <v/>
      </c>
      <c r="H249" s="563" t="n">
        <v>10006270</v>
      </c>
    </row>
    <row r="250">
      <c r="A250" s="156" t="n"/>
      <c r="B250" s="112" t="n"/>
      <c r="C250" s="112" t="n"/>
      <c r="D250" s="112" t="n"/>
      <c r="E250" s="580">
        <f>E249+C250-D250</f>
        <v/>
      </c>
    </row>
    <row r="251">
      <c r="A251" s="156" t="n"/>
      <c r="B251" s="112" t="n"/>
      <c r="C251" s="112" t="n"/>
      <c r="D251" s="112" t="n"/>
      <c r="E251" s="580">
        <f>E250+C251-D251</f>
        <v/>
      </c>
      <c r="N251" s="464" t="n"/>
    </row>
    <row r="252">
      <c r="A252" s="156" t="n">
        <v>46155</v>
      </c>
      <c r="B252" s="112" t="inlineStr">
        <is>
          <t>大业申购</t>
        </is>
      </c>
      <c r="C252" s="112" t="n">
        <v>200</v>
      </c>
      <c r="D252" s="112" t="n"/>
      <c r="E252" s="580">
        <f>E251+C252-D252</f>
        <v/>
      </c>
      <c r="N252" s="464" t="n"/>
    </row>
    <row r="253">
      <c r="A253" s="156" t="n">
        <v>46155</v>
      </c>
      <c r="B253" s="112" t="inlineStr">
        <is>
          <t>阳光金科赎回</t>
        </is>
      </c>
      <c r="C253" s="112" t="n"/>
      <c r="D253" s="112" t="n">
        <v>920.1682</v>
      </c>
      <c r="E253" s="580">
        <f>E252+C253-D253</f>
        <v/>
      </c>
      <c r="H253" s="592" t="n"/>
      <c r="K253" s="592" t="n"/>
      <c r="N253" s="464" t="n"/>
    </row>
    <row r="254">
      <c r="A254" s="156" t="n">
        <v>46156</v>
      </c>
      <c r="B254" s="112" t="inlineStr">
        <is>
          <t>盛煜014D到期兑付</t>
        </is>
      </c>
      <c r="C254" s="112" t="n">
        <v>1045</v>
      </c>
      <c r="D254" s="112" t="n"/>
      <c r="E254" s="580">
        <f>E253+C254-D254</f>
        <v/>
      </c>
    </row>
    <row r="255">
      <c r="A255" s="156" t="n">
        <v>46156</v>
      </c>
      <c r="B255" s="112" t="inlineStr">
        <is>
          <t>归还回购</t>
        </is>
      </c>
      <c r="C255" s="112" t="n"/>
      <c r="D255" s="112" t="n">
        <v>845</v>
      </c>
      <c r="E255" s="580">
        <f>E254+C255-D255</f>
        <v/>
      </c>
    </row>
    <row r="256">
      <c r="A256" s="156" t="n"/>
      <c r="B256" s="112" t="n"/>
      <c r="C256" s="112" t="n"/>
      <c r="D256" s="112" t="n"/>
      <c r="E256" s="580">
        <f>E255+C256-D256</f>
        <v/>
      </c>
    </row>
    <row r="257">
      <c r="A257" s="156" t="n">
        <v>46157</v>
      </c>
      <c r="B257" s="112" t="inlineStr">
        <is>
          <t>回款解冻</t>
        </is>
      </c>
      <c r="C257" s="112" t="n">
        <v>266</v>
      </c>
      <c r="D257" s="112" t="n"/>
      <c r="E257" s="580">
        <f>E256+C257-D257</f>
        <v/>
      </c>
      <c r="K257" s="565" t="inlineStr">
        <is>
          <t>苏信4月份计划</t>
        </is>
      </c>
    </row>
    <row r="258">
      <c r="A258" s="156" t="n">
        <v>46157</v>
      </c>
      <c r="B258" s="112" t="inlineStr">
        <is>
          <t>平安普惠兑付</t>
        </is>
      </c>
      <c r="C258" s="112" t="n">
        <v>15.5</v>
      </c>
      <c r="D258" s="112" t="n"/>
      <c r="E258" s="580">
        <f>E257+C258-D258</f>
        <v/>
      </c>
      <c r="K258" s="565" t="inlineStr">
        <is>
          <t>Z2603</t>
        </is>
      </c>
      <c r="L258" s="564" t="inlineStr">
        <is>
          <t>1.1个亿</t>
        </is>
      </c>
      <c r="M258" s="0" t="inlineStr">
        <is>
          <t>8000abs</t>
        </is>
      </c>
      <c r="N258" s="0" t="inlineStr">
        <is>
          <t>1700w港华</t>
        </is>
      </c>
      <c r="O258" s="0" t="inlineStr">
        <is>
          <t>300w战配</t>
        </is>
      </c>
    </row>
    <row r="259">
      <c r="A259" s="156" t="n">
        <v>46157</v>
      </c>
      <c r="B259" s="112" t="inlineStr">
        <is>
          <t>徽商期货赎回</t>
        </is>
      </c>
      <c r="C259" s="112" t="n"/>
      <c r="D259" s="112" t="n">
        <v>50.019585</v>
      </c>
      <c r="E259" s="580">
        <f>E258+C259-D259</f>
        <v/>
      </c>
      <c r="K259" s="565" t="inlineStr">
        <is>
          <t>Z2501优先级</t>
        </is>
      </c>
      <c r="L259" s="564" t="inlineStr">
        <is>
          <t>1900w</t>
        </is>
      </c>
    </row>
    <row r="260">
      <c r="A260" s="156" t="n">
        <v>46160</v>
      </c>
      <c r="B260" s="112" t="inlineStr">
        <is>
          <t>申购</t>
        </is>
      </c>
      <c r="C260" s="112" t="n">
        <v>325</v>
      </c>
      <c r="D260" s="112" t="n"/>
      <c r="E260" s="580">
        <f>E259+C260-D260</f>
        <v/>
      </c>
      <c r="K260" s="565" t="inlineStr">
        <is>
          <t>Z2502次级</t>
        </is>
      </c>
      <c r="L260" s="564" t="inlineStr">
        <is>
          <t>5-7000w</t>
        </is>
      </c>
    </row>
    <row r="261">
      <c r="A261" s="156" t="n">
        <v>46160</v>
      </c>
      <c r="B261" s="112" t="inlineStr">
        <is>
          <t>GC绿发次</t>
        </is>
      </c>
      <c r="C261" s="112" t="n"/>
      <c r="D261" s="112" t="n">
        <v>756.6</v>
      </c>
      <c r="E261" s="572">
        <f>+E260+C261-D261</f>
        <v/>
      </c>
      <c r="F261" s="562" t="inlineStr">
        <is>
          <t>1、方向：西藏君集1号to【元康盛景1号】
交易日期：2026年5月18日
债券代码：183128.SH
债券简称：GC绿发次
交易全价：102.515元/百元面值
数量：738万面值（7.38万张，7380手）
卖方：西藏信托君集1号集合资金信托计划
卖方询价QQ：2850981264钟振涛
卖方交易员代码：Z07119
买方：【元康盛景1号】
买方询价QQ：【刘靖涛qt3003993899】
买方交易员代码：【Z11825】
约定号：【111】</t>
        </is>
      </c>
      <c r="J261" s="593" t="inlineStr">
        <is>
          <t>待定</t>
        </is>
      </c>
      <c r="K261" s="565" t="inlineStr">
        <is>
          <t>Z2601优先级</t>
        </is>
      </c>
      <c r="L261" s="564" t="inlineStr">
        <is>
          <t>来不及，不募集</t>
        </is>
      </c>
    </row>
    <row r="262">
      <c r="A262" s="156" t="n"/>
      <c r="B262" s="112" t="n"/>
      <c r="C262" s="112" t="n"/>
      <c r="D262" s="112" t="n"/>
      <c r="E262" s="572">
        <f>+E261+C262-D262</f>
        <v/>
      </c>
    </row>
    <row r="263">
      <c r="A263" s="156" t="n"/>
      <c r="B263" s="112" t="n"/>
      <c r="C263" s="112" t="n"/>
      <c r="D263" s="112" t="n"/>
      <c r="E263" s="580">
        <f>E262+C263-D263</f>
        <v/>
      </c>
      <c r="K263" s="565" t="inlineStr">
        <is>
          <t>中建投</t>
        </is>
      </c>
      <c r="L263" s="564" t="n">
        <v>5000</v>
      </c>
    </row>
    <row r="264">
      <c r="A264" s="156" t="n"/>
      <c r="B264" s="112" t="n"/>
      <c r="C264" s="112" t="n"/>
      <c r="D264" s="112" t="n"/>
      <c r="E264" s="580">
        <f>E263+C264-D264</f>
        <v/>
      </c>
    </row>
    <row r="265">
      <c r="A265" s="445" t="n">
        <v>46161</v>
      </c>
      <c r="B265" s="122" t="inlineStr">
        <is>
          <t>中信建投dd卖出-惠民3次</t>
        </is>
      </c>
      <c r="C265" s="122" t="n">
        <v>570</v>
      </c>
      <c r="E265" s="584">
        <f>E264+C265-D265</f>
        <v/>
      </c>
      <c r="F265" s="0" t="inlineStr">
        <is>
          <t>待确认，</t>
        </is>
      </c>
    </row>
    <row r="266">
      <c r="A266" s="445" t="n">
        <v>46161</v>
      </c>
      <c r="B266" s="122" t="inlineStr">
        <is>
          <t>新增回购</t>
        </is>
      </c>
      <c r="C266" s="122" t="n">
        <v>1400</v>
      </c>
      <c r="E266" s="584">
        <f>E265+C266-D266</f>
        <v/>
      </c>
      <c r="F266" s="0" t="inlineStr">
        <is>
          <t>待确认</t>
        </is>
      </c>
    </row>
    <row r="267">
      <c r="A267" s="4" t="n">
        <v>46162</v>
      </c>
      <c r="B267" s="112" t="inlineStr">
        <is>
          <t>GC绿发次</t>
        </is>
      </c>
      <c r="C267" s="112" t="n">
        <v>756.6</v>
      </c>
      <c r="E267" s="584">
        <f>E266+C267-D267</f>
        <v/>
      </c>
    </row>
    <row r="268">
      <c r="A268" s="4" t="n">
        <v>46162</v>
      </c>
      <c r="B268" s="0" t="inlineStr">
        <is>
          <t>阳光金科稳健11赎回</t>
        </is>
      </c>
      <c r="D268" s="0">
        <f>141*1.14</f>
        <v/>
      </c>
      <c r="E268" s="584">
        <f>E267+C268-D268</f>
        <v/>
      </c>
    </row>
    <row r="269">
      <c r="A269" s="4" t="n">
        <v>46162</v>
      </c>
      <c r="B269" s="0" t="inlineStr">
        <is>
          <t>光大保德信赎回</t>
        </is>
      </c>
      <c r="D269" s="0">
        <f>2500*1.14</f>
        <v/>
      </c>
      <c r="E269" s="584">
        <f>E268+C269-D269</f>
        <v/>
      </c>
      <c r="H269" s="0" t="n">
        <v>337</v>
      </c>
      <c r="J269" s="564">
        <f>H269*J278/100</f>
        <v/>
      </c>
      <c r="L269" s="564" t="n">
        <v>975</v>
      </c>
      <c r="N269" s="564">
        <f>L269*N276/100</f>
        <v/>
      </c>
      <c r="O269" s="564" t="n"/>
    </row>
    <row r="270">
      <c r="E270" s="584">
        <f>E269+C270-D270</f>
        <v/>
      </c>
      <c r="H270" s="0" t="inlineStr">
        <is>
          <t>铁建051C</t>
        </is>
      </c>
      <c r="I270" s="464">
        <f>XIRR(I271:I279,H271:H279)</f>
        <v/>
      </c>
      <c r="J270" s="464">
        <f>XIRR(J278:J279,H278:H279)</f>
        <v/>
      </c>
      <c r="L270" s="564" t="inlineStr">
        <is>
          <t>铁建061C</t>
        </is>
      </c>
      <c r="M270" s="464">
        <f>XIRR(M271:M279,L271:L279)</f>
        <v/>
      </c>
      <c r="N270" s="464">
        <f>XIRR(N276:N277,L276:L277)</f>
        <v/>
      </c>
      <c r="O270" s="464">
        <f>XIRR(O277:O279,L277:L279)</f>
        <v/>
      </c>
      <c r="Q270" s="0" t="inlineStr">
        <is>
          <t>铁建081C</t>
        </is>
      </c>
      <c r="R270" s="464">
        <f>XIRR(R271:R274,Q271:Q274)</f>
        <v/>
      </c>
    </row>
    <row r="271">
      <c r="A271" s="4" t="n">
        <v>46164</v>
      </c>
      <c r="B271" s="0" t="inlineStr">
        <is>
          <t>金城铁建回款</t>
        </is>
      </c>
      <c r="C271" s="0" t="n">
        <v>500</v>
      </c>
      <c r="E271" s="584">
        <f>E270+C271-D271</f>
        <v/>
      </c>
      <c r="H271" s="266" t="n">
        <v>45068</v>
      </c>
      <c r="I271" s="564" t="n">
        <v>-100</v>
      </c>
      <c r="L271" s="266" t="n">
        <v>45187</v>
      </c>
      <c r="M271" s="0" t="n">
        <v>-100</v>
      </c>
      <c r="Q271" s="1" t="n">
        <v>45832</v>
      </c>
      <c r="R271" s="0" t="n">
        <v>-100</v>
      </c>
    </row>
    <row r="272">
      <c r="E272" s="584">
        <f>E271+C272-D272</f>
        <v/>
      </c>
      <c r="H272" s="1" t="n">
        <v>45226.00049768519</v>
      </c>
      <c r="I272" s="564" t="n">
        <v>2.164</v>
      </c>
      <c r="L272" s="266" t="n">
        <v>45436.00049768519</v>
      </c>
      <c r="M272" s="0" t="n">
        <v>3.397</v>
      </c>
      <c r="Q272" s="1" t="n">
        <v>45958.00049768519</v>
      </c>
      <c r="R272" s="0" t="n">
        <v>1.726</v>
      </c>
    </row>
    <row r="273">
      <c r="A273" s="4" t="n">
        <v>46164</v>
      </c>
      <c r="B273" s="0" t="inlineStr">
        <is>
          <t>5美好3次</t>
        </is>
      </c>
      <c r="D273" s="0">
        <f>331*109.731%</f>
        <v/>
      </c>
      <c r="E273" s="584">
        <f>E272+C273-D273</f>
        <v/>
      </c>
      <c r="F273" s="562" t="inlineStr">
        <is>
          <t>5/22，5美好3次，331W，109.731，国泰海通 樊文娟 to 元康盛景28号 刘靖涛</t>
        </is>
      </c>
      <c r="H273" s="1" t="n">
        <v>45405.00049768519</v>
      </c>
      <c r="I273" s="564" t="n">
        <v>2.438</v>
      </c>
      <c r="L273" s="266" t="n">
        <v>45617.00049768519</v>
      </c>
      <c r="M273" s="0" t="n">
        <v>2.479</v>
      </c>
      <c r="Q273" s="1" t="n">
        <v>46044.00049768519</v>
      </c>
      <c r="R273" s="0" t="n">
        <v>1.1781</v>
      </c>
    </row>
    <row r="274">
      <c r="A274" s="4" t="n">
        <v>46164</v>
      </c>
      <c r="B274" s="0" t="inlineStr">
        <is>
          <t>5美意5次</t>
        </is>
      </c>
      <c r="D274" s="0">
        <f>100*107.027%</f>
        <v/>
      </c>
      <c r="E274" s="584">
        <f>E273+C274-D274</f>
        <v/>
      </c>
      <c r="F274" s="562" t="inlineStr">
        <is>
          <t>5/22，5美意5次，100W，107.027，国泰海通 樊文娟 to 元康盛景28号 刘靖涛</t>
        </is>
      </c>
      <c r="H274" s="1" t="n">
        <v>45593.00049768519</v>
      </c>
      <c r="I274" s="564" t="n">
        <v>2.575</v>
      </c>
      <c r="L274" s="266" t="n">
        <v>45803.00049768519</v>
      </c>
      <c r="M274" s="0" t="n">
        <v>2.548</v>
      </c>
      <c r="P274" s="150" t="n">
        <v>0.065</v>
      </c>
      <c r="Q274" s="1" t="n">
        <v>46119</v>
      </c>
      <c r="R274" s="201">
        <f>ROUND(-R271*(1+P274*(Q274-Q271)/365)-SUM(R272:R273),3)</f>
        <v/>
      </c>
    </row>
    <row r="275">
      <c r="A275" s="4" t="n">
        <v>46164</v>
      </c>
      <c r="B275" s="0" t="inlineStr">
        <is>
          <t>元康17号申购</t>
        </is>
      </c>
      <c r="C275" s="0" t="n">
        <v>200</v>
      </c>
      <c r="E275" s="584">
        <f>E274+C275-D275</f>
        <v/>
      </c>
      <c r="H275" s="1" t="n">
        <v>45769.00049768519</v>
      </c>
      <c r="I275" s="564" t="n">
        <v>2.411</v>
      </c>
      <c r="L275" s="266" t="n">
        <v>45982.00049768519</v>
      </c>
      <c r="M275" s="0" t="n">
        <v>2.452</v>
      </c>
    </row>
    <row r="276">
      <c r="A276" s="4" t="n">
        <v>46167</v>
      </c>
      <c r="B276" s="0" t="inlineStr">
        <is>
          <t>臻泉2号</t>
        </is>
      </c>
      <c r="C276" s="0" t="n">
        <v>3913</v>
      </c>
      <c r="E276" s="584">
        <f>E275+C276-D276</f>
        <v/>
      </c>
      <c r="H276" s="1" t="n">
        <v>45959.00049768519</v>
      </c>
      <c r="I276" s="564" t="n">
        <v>2.603</v>
      </c>
      <c r="L276" s="266" t="n">
        <v>46120</v>
      </c>
      <c r="N276" s="594" t="n">
        <v>-111.938</v>
      </c>
      <c r="O276" s="594" t="n"/>
      <c r="Q276" s="0" t="inlineStr">
        <is>
          <t>G铁建82C</t>
        </is>
      </c>
      <c r="R276" s="464">
        <f>XIRR(R277:R280,Q277:Q280)</f>
        <v/>
      </c>
      <c r="S276" s="464">
        <f>XIRR(S279:S281,Q279:Q281)</f>
        <v/>
      </c>
      <c r="T276" s="464">
        <f>XIRR(T279:T281,Q279:Q281)</f>
        <v/>
      </c>
      <c r="U276" s="464">
        <f>XIRR(U280:U281,Q280:Q281)</f>
        <v/>
      </c>
    </row>
    <row r="277">
      <c r="E277" s="584">
        <f>E276+C277-D277</f>
        <v/>
      </c>
      <c r="H277" s="1" t="n">
        <v>46083.00049768519</v>
      </c>
      <c r="I277" s="564" t="n">
        <v>0</v>
      </c>
      <c r="L277" s="266" t="n">
        <v>46129</v>
      </c>
      <c r="N277" s="594" t="n">
        <v>112.01</v>
      </c>
      <c r="O277" s="595">
        <f>-N277-0.01</f>
        <v/>
      </c>
      <c r="Q277" s="1" t="n">
        <v>45923</v>
      </c>
      <c r="R277" s="0" t="n">
        <v>-100</v>
      </c>
    </row>
    <row r="278">
      <c r="A278" s="4" t="n">
        <v>46169</v>
      </c>
      <c r="B278" s="0" t="inlineStr">
        <is>
          <t>赎回</t>
        </is>
      </c>
      <c r="D278" s="0">
        <f>124*1.14</f>
        <v/>
      </c>
      <c r="E278" s="584">
        <f>E277+C278-D278</f>
        <v/>
      </c>
      <c r="H278" s="1" t="n">
        <v>46120</v>
      </c>
      <c r="J278" s="594" t="n">
        <v>-112.603</v>
      </c>
      <c r="K278" s="575" t="n">
        <v>0.08500000000000001</v>
      </c>
      <c r="L278" s="266" t="n">
        <v>46168</v>
      </c>
      <c r="M278" s="0" t="n">
        <v>0</v>
      </c>
      <c r="N278" s="573">
        <f>M278</f>
        <v/>
      </c>
      <c r="O278" s="573" t="n"/>
      <c r="Q278" s="117" t="n">
        <v>46080</v>
      </c>
      <c r="R278" s="0" t="n">
        <v>2.1506</v>
      </c>
      <c r="S278" s="184" t="n"/>
    </row>
    <row r="279">
      <c r="E279" s="584">
        <f>E278+C279-D279</f>
        <v/>
      </c>
      <c r="H279" s="1" t="n">
        <v>46164</v>
      </c>
      <c r="I279" s="564">
        <f>-I271*(1+G291*(H279-H271)/365)-SUM(I272:I277)</f>
        <v/>
      </c>
      <c r="J279" s="579">
        <f>+I279</f>
        <v/>
      </c>
      <c r="L279" s="266" t="n">
        <v>46283</v>
      </c>
      <c r="M279" s="564">
        <f>-M271*(1+K278*(L279-L271)/365)-SUM(M272:M278)</f>
        <v/>
      </c>
      <c r="N279" s="573">
        <f>M279</f>
        <v/>
      </c>
      <c r="O279" s="573">
        <f>+N279</f>
        <v/>
      </c>
      <c r="P279" s="596" t="n">
        <v>0.065</v>
      </c>
      <c r="Q279" s="117" t="n">
        <v>46120</v>
      </c>
      <c r="R279" s="201" t="n">
        <v>100.461</v>
      </c>
      <c r="S279" s="184">
        <f>-R279</f>
        <v/>
      </c>
      <c r="T279" s="0">
        <f>+S279</f>
        <v/>
      </c>
    </row>
    <row r="280">
      <c r="A280" s="4" t="n">
        <v>46176</v>
      </c>
      <c r="B280" s="0" t="inlineStr">
        <is>
          <t>赎回</t>
        </is>
      </c>
      <c r="D280" s="0">
        <f>207*1.14</f>
        <v/>
      </c>
      <c r="E280" s="584">
        <f>E279+C280-D280</f>
        <v/>
      </c>
      <c r="O280" s="579" t="n"/>
      <c r="Q280" s="117" t="n">
        <v>46128</v>
      </c>
      <c r="T280" s="0">
        <f>100.579-0.005</f>
        <v/>
      </c>
      <c r="U280" s="0">
        <f>-T280-0.01</f>
        <v/>
      </c>
    </row>
    <row r="281">
      <c r="A281" s="4" t="n">
        <v>46183</v>
      </c>
      <c r="B281" s="0" t="inlineStr">
        <is>
          <t>赎回</t>
        </is>
      </c>
      <c r="D281" s="0">
        <f>595*1.14</f>
        <v/>
      </c>
      <c r="E281" s="584">
        <f>E280+C281-D281</f>
        <v/>
      </c>
      <c r="J281" s="579">
        <f>-J279/(1+5.5%*(H279-H278)/365)</f>
        <v/>
      </c>
      <c r="N281" s="579">
        <f>-N279/(1+5.5%*(L279-L276)/365)</f>
        <v/>
      </c>
      <c r="Q281" s="117" t="n">
        <v>46152</v>
      </c>
      <c r="S281" s="0" t="n">
        <v>100.934</v>
      </c>
      <c r="U281" s="0">
        <f>+S281</f>
        <v/>
      </c>
    </row>
    <row r="282">
      <c r="A282" s="4" t="n">
        <v>46189</v>
      </c>
      <c r="B282" s="0" t="inlineStr">
        <is>
          <t>光大保德信赎回</t>
        </is>
      </c>
      <c r="D282" s="0">
        <f>2311.5*1.14</f>
        <v/>
      </c>
      <c r="E282" s="584">
        <f>E281+C282-D282</f>
        <v/>
      </c>
    </row>
    <row r="283">
      <c r="E283" s="584">
        <f>E282+C283-D283</f>
        <v/>
      </c>
      <c r="F283" s="0" t="inlineStr">
        <is>
          <t>待定，看是否有新券，尽快控制归还回购在2000w以内</t>
        </is>
      </c>
      <c r="M283" s="565">
        <f>320*O290/100</f>
        <v/>
      </c>
      <c r="U283" s="0" t="n">
        <v>101.39</v>
      </c>
      <c r="V283" s="0">
        <f>+U283*(1-0.01)</f>
        <v/>
      </c>
    </row>
    <row r="284">
      <c r="E284" s="584">
        <f>E283+C284-D284</f>
        <v/>
      </c>
      <c r="H284" s="0" t="inlineStr">
        <is>
          <t>铁建051C</t>
        </is>
      </c>
      <c r="I284" s="464">
        <f>XIRR(I285:I293,H285:H293)</f>
        <v/>
      </c>
      <c r="J284" s="464">
        <f>XIRR(J285:J293,H285:H293)</f>
        <v/>
      </c>
      <c r="K284" s="464">
        <f>XIRR(K292:K293,H292:H293)</f>
        <v/>
      </c>
      <c r="L284" s="565" t="n"/>
      <c r="M284" s="564" t="inlineStr">
        <is>
          <t>铁建061C</t>
        </is>
      </c>
      <c r="N284" s="464">
        <f>XIRR(N285:N292,M285:M292)</f>
        <v/>
      </c>
      <c r="O284" s="464">
        <f>XIRR(O285:O292,M285:M292)</f>
        <v/>
      </c>
      <c r="P284" s="464">
        <f>XIRR(P290:P292,M290:M292)</f>
        <v/>
      </c>
      <c r="R284" s="0" t="inlineStr">
        <is>
          <t>ZJCF08C</t>
        </is>
      </c>
      <c r="S284" s="464">
        <f>XIRR(S285:S287,R285:R287)</f>
        <v/>
      </c>
    </row>
    <row r="285">
      <c r="E285" s="584">
        <f>E284+C285-D285</f>
        <v/>
      </c>
      <c r="H285" s="1">
        <f>H271</f>
        <v/>
      </c>
      <c r="I285" s="0">
        <f>I271</f>
        <v/>
      </c>
      <c r="J285" s="565">
        <f>+I285</f>
        <v/>
      </c>
      <c r="L285" s="565" t="n"/>
      <c r="M285" s="266" t="n">
        <v>45187</v>
      </c>
      <c r="N285" s="0" t="n">
        <v>-100</v>
      </c>
      <c r="O285" s="0">
        <f>+N285</f>
        <v/>
      </c>
      <c r="R285" s="1" t="n">
        <v>45951</v>
      </c>
      <c r="S285" s="0" t="n">
        <v>-100</v>
      </c>
    </row>
    <row r="286">
      <c r="B286" s="0" t="inlineStr">
        <is>
          <t>惠鑫壹6B</t>
        </is>
      </c>
      <c r="C286" s="0">
        <f>1200*99.918%</f>
        <v/>
      </c>
      <c r="E286" s="584">
        <f>E285+C286-D286</f>
        <v/>
      </c>
      <c r="F286" s="0" t="inlineStr">
        <is>
          <t xml:space="preserve"> 5/19, 惠鑫壹6B[268306.SH]，1200w，净价99.783，全价99.918；</t>
        </is>
      </c>
      <c r="H286" s="1">
        <f>H272</f>
        <v/>
      </c>
      <c r="I286" s="0">
        <f>I272</f>
        <v/>
      </c>
      <c r="J286" s="565">
        <f>+I286</f>
        <v/>
      </c>
      <c r="L286" s="565" t="n"/>
      <c r="M286" s="266" t="n">
        <v>45436.00049768519</v>
      </c>
      <c r="N286" s="0" t="n">
        <v>3.397</v>
      </c>
      <c r="O286" s="0">
        <f>+N286</f>
        <v/>
      </c>
      <c r="R286" s="117" t="n">
        <v>46050</v>
      </c>
      <c r="S286" s="0" t="n">
        <v>1.4918</v>
      </c>
    </row>
    <row r="287">
      <c r="E287" s="584">
        <f>E286+C287-D287</f>
        <v/>
      </c>
      <c r="H287" s="1">
        <f>H273</f>
        <v/>
      </c>
      <c r="I287" s="0">
        <f>I273</f>
        <v/>
      </c>
      <c r="J287" s="565">
        <f>+I287</f>
        <v/>
      </c>
      <c r="L287" s="565" t="n"/>
      <c r="M287" s="266" t="n">
        <v>45617.00049768519</v>
      </c>
      <c r="N287" s="0" t="n">
        <v>2.479</v>
      </c>
      <c r="O287" s="0">
        <f>+N287</f>
        <v/>
      </c>
      <c r="R287" s="117" t="n">
        <v>46139</v>
      </c>
    </row>
    <row r="288">
      <c r="A288" s="4" t="n">
        <v>46204</v>
      </c>
      <c r="B288" s="0" t="inlineStr">
        <is>
          <t>赎回</t>
        </is>
      </c>
      <c r="D288" s="0">
        <f>349*1.15</f>
        <v/>
      </c>
      <c r="E288" s="584">
        <f>E287+C288-D288</f>
        <v/>
      </c>
      <c r="H288" s="1">
        <f>H274</f>
        <v/>
      </c>
      <c r="I288" s="0">
        <f>I274</f>
        <v/>
      </c>
      <c r="J288" s="565">
        <f>+I288</f>
        <v/>
      </c>
      <c r="L288" s="565" t="n"/>
      <c r="M288" s="266" t="n">
        <v>45803.00049768519</v>
      </c>
      <c r="N288" s="0" t="n">
        <v>2.548</v>
      </c>
      <c r="O288" s="0">
        <f>+N288</f>
        <v/>
      </c>
    </row>
    <row r="289">
      <c r="E289" s="584">
        <f>E288+C289-D289</f>
        <v/>
      </c>
      <c r="H289" s="1">
        <f>H275</f>
        <v/>
      </c>
      <c r="I289" s="0">
        <f>I275</f>
        <v/>
      </c>
      <c r="J289" s="565">
        <f>+I289</f>
        <v/>
      </c>
      <c r="L289" s="565" t="n"/>
      <c r="M289" s="266" t="n">
        <v>45982.00049768519</v>
      </c>
      <c r="N289" s="0" t="n">
        <v>2.452</v>
      </c>
      <c r="O289" s="0">
        <f>+N289</f>
        <v/>
      </c>
    </row>
    <row r="290">
      <c r="E290" s="584">
        <f>E289+C290-D290</f>
        <v/>
      </c>
      <c r="H290" s="1">
        <f>H276</f>
        <v/>
      </c>
      <c r="I290" s="0">
        <f>I276</f>
        <v/>
      </c>
      <c r="J290" s="565">
        <f>+I290</f>
        <v/>
      </c>
      <c r="L290" s="565" t="n"/>
      <c r="M290" s="266" t="n">
        <v>46139</v>
      </c>
      <c r="O290" s="594">
        <f>-O285*(1+L292*(M290-M285)/365)-SUM(O286:O289)</f>
        <v/>
      </c>
      <c r="P290" s="595">
        <f>-O290</f>
        <v/>
      </c>
    </row>
    <row r="291">
      <c r="E291" s="584">
        <f>E290+C291-D291</f>
        <v/>
      </c>
      <c r="G291" s="150" t="n">
        <v>0.08500000000000001</v>
      </c>
      <c r="H291" s="1">
        <f>H277</f>
        <v/>
      </c>
      <c r="I291" s="0">
        <f>I277</f>
        <v/>
      </c>
      <c r="L291" s="565" t="n"/>
      <c r="M291" s="266" t="n">
        <v>46168</v>
      </c>
      <c r="N291" s="0" t="n">
        <v>0</v>
      </c>
      <c r="O291" s="573" t="n"/>
      <c r="P291" s="573" t="n"/>
    </row>
    <row r="292">
      <c r="E292" s="584">
        <f>E291+C292-D292</f>
        <v/>
      </c>
      <c r="H292" s="1" t="n">
        <v>46139</v>
      </c>
      <c r="I292" s="0">
        <f>I278</f>
        <v/>
      </c>
      <c r="J292" s="565">
        <f>-K292</f>
        <v/>
      </c>
      <c r="K292" s="565">
        <f>-O203</f>
        <v/>
      </c>
      <c r="L292" s="565" t="n">
        <v>0.08500000000000001</v>
      </c>
      <c r="M292" s="266" t="n">
        <v>46283</v>
      </c>
      <c r="N292" s="564">
        <f>-N285*(1+L292*(M292-M285)/365)-SUM(N286:N291)</f>
        <v/>
      </c>
      <c r="O292" s="573" t="n"/>
      <c r="P292" s="573">
        <f>N292</f>
        <v/>
      </c>
    </row>
    <row r="293">
      <c r="E293" s="584">
        <f>E292+C293-D293</f>
        <v/>
      </c>
      <c r="H293" s="1">
        <f>H279</f>
        <v/>
      </c>
      <c r="I293" s="0">
        <f>I279</f>
        <v/>
      </c>
      <c r="K293" s="565">
        <f>+I293</f>
        <v/>
      </c>
      <c r="L293" s="565" t="n"/>
      <c r="M293" s="564" t="n"/>
    </row>
    <row r="294">
      <c r="E294" s="584">
        <f>E293+C294-D294</f>
        <v/>
      </c>
      <c r="L294" s="266" t="n"/>
      <c r="N294" s="594" t="n"/>
      <c r="O294" s="594" t="n"/>
    </row>
    <row r="295">
      <c r="H295" s="0" t="inlineStr">
        <is>
          <t>铁建051C</t>
        </is>
      </c>
      <c r="I295" s="464">
        <f>XIRR(I296:I304,H296:H304)</f>
        <v/>
      </c>
      <c r="J295" s="464">
        <f>XIRR(J296:J304,H296:H304)</f>
        <v/>
      </c>
      <c r="K295" s="464">
        <f>XIRR(K303:K304,H303:H304)</f>
        <v/>
      </c>
      <c r="M295" s="0" t="inlineStr">
        <is>
          <t>铁建081C</t>
        </is>
      </c>
      <c r="N295" s="464">
        <f>XIRR(N296:N300,M296:M300)</f>
        <v/>
      </c>
    </row>
    <row r="296">
      <c r="H296" s="1">
        <f>H285</f>
        <v/>
      </c>
      <c r="I296" s="0">
        <f>I285</f>
        <v/>
      </c>
      <c r="J296" s="565">
        <f>+I296</f>
        <v/>
      </c>
      <c r="M296" s="1" t="n">
        <v>45832</v>
      </c>
      <c r="N296" s="0" t="n">
        <v>-100</v>
      </c>
    </row>
    <row r="297">
      <c r="H297" s="1">
        <f>H286</f>
        <v/>
      </c>
      <c r="I297" s="0">
        <f>I286</f>
        <v/>
      </c>
      <c r="J297" s="565">
        <f>+I297</f>
        <v/>
      </c>
      <c r="M297" s="1" t="n">
        <v>45958.00049768519</v>
      </c>
      <c r="N297" s="0" t="n">
        <v>1.726</v>
      </c>
    </row>
    <row r="298">
      <c r="H298" s="1">
        <f>H287</f>
        <v/>
      </c>
      <c r="I298" s="0">
        <f>I287</f>
        <v/>
      </c>
      <c r="J298" s="565">
        <f>+I298</f>
        <v/>
      </c>
      <c r="M298" s="1" t="n">
        <v>46044.00049768519</v>
      </c>
      <c r="N298" s="0" t="n">
        <v>1.1781</v>
      </c>
    </row>
    <row r="299">
      <c r="H299" s="1">
        <f>H288</f>
        <v/>
      </c>
      <c r="I299" s="0">
        <f>I288</f>
        <v/>
      </c>
      <c r="J299" s="565">
        <f>+I299</f>
        <v/>
      </c>
      <c r="M299" s="1" t="n">
        <v>46133</v>
      </c>
      <c r="N299" s="0" t="n">
        <v>1.2192</v>
      </c>
    </row>
    <row r="300">
      <c r="H300" s="1">
        <f>H289</f>
        <v/>
      </c>
      <c r="I300" s="0">
        <f>I289</f>
        <v/>
      </c>
      <c r="J300" s="565">
        <f>+I300</f>
        <v/>
      </c>
      <c r="M300" s="1" t="n">
        <v>46141</v>
      </c>
      <c r="N300" s="0" t="n">
        <v>101.379</v>
      </c>
      <c r="O300" s="0">
        <f>100*(1+6%*(M300-M296)/365)-SUM(N297:N299)</f>
        <v/>
      </c>
    </row>
    <row r="301">
      <c r="H301" s="1">
        <f>H290</f>
        <v/>
      </c>
      <c r="I301" s="0">
        <f>I290</f>
        <v/>
      </c>
      <c r="J301" s="565">
        <f>+I301</f>
        <v/>
      </c>
    </row>
    <row r="302">
      <c r="H302" s="1">
        <f>H291</f>
        <v/>
      </c>
      <c r="I302" s="0">
        <f>I291</f>
        <v/>
      </c>
      <c r="J302" s="565">
        <f>+I302</f>
        <v/>
      </c>
    </row>
    <row r="303">
      <c r="H303" s="1" t="n">
        <v>46141</v>
      </c>
      <c r="I303" s="0">
        <f>I292</f>
        <v/>
      </c>
      <c r="J303" s="565" t="n">
        <v>112.95</v>
      </c>
      <c r="K303" s="565">
        <f>-J303</f>
        <v/>
      </c>
    </row>
    <row r="304">
      <c r="H304" s="1">
        <f>H293</f>
        <v/>
      </c>
      <c r="I304" s="0">
        <f>I293</f>
        <v/>
      </c>
      <c r="K304" s="565">
        <f>+I304</f>
        <v/>
      </c>
    </row>
  </sheetData>
  <conditionalFormatting sqref="B16">
    <cfRule type="duplicateValues" priority="70" dxfId="20"/>
    <cfRule type="duplicateValues" priority="71" dxfId="0"/>
    <cfRule type="duplicateValues" priority="72" dxfId="0"/>
  </conditionalFormatting>
  <conditionalFormatting sqref="B17">
    <cfRule type="duplicateValues" priority="67" dxfId="0"/>
    <cfRule type="duplicateValues" priority="69" dxfId="76"/>
  </conditionalFormatting>
  <conditionalFormatting sqref="B17:B18">
    <cfRule type="duplicateValues" priority="66" dxfId="20"/>
    <cfRule type="duplicateValues" priority="68" dxfId="0"/>
  </conditionalFormatting>
  <conditionalFormatting sqref="B105:B112 B114:B117">
    <cfRule type="duplicateValues" priority="99" dxfId="0"/>
  </conditionalFormatting>
  <conditionalFormatting sqref="E1:E260 E263:E1048576">
    <cfRule type="cellIs" priority="2" operator="lessThan" dxfId="0">
      <formula>0</formula>
    </cfRule>
  </conditionalFormatting>
  <conditionalFormatting sqref="E261:E262">
    <cfRule type="cellIs" priority="1" operator="lessThan" dxfId="0">
      <formula>0</formula>
    </cfRule>
  </conditionalFormatting>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codeName="Sheet9">
    <outlinePr summaryBelow="1" summaryRight="1"/>
    <pageSetUpPr/>
  </sheetPr>
  <dimension ref="A1:V127"/>
  <sheetViews>
    <sheetView zoomScaleNormal="100" workbookViewId="0">
      <pane ySplit="2" topLeftCell="A94" activePane="bottomLeft" state="frozen"/>
      <selection pane="bottomLeft" activeCell="E102" sqref="E102:E103"/>
    </sheetView>
  </sheetViews>
  <sheetFormatPr baseColWidth="8" defaultRowHeight="16.5"/>
  <cols>
    <col width="13.75" customWidth="1" style="326" min="1" max="1"/>
    <col width="10.375" customWidth="1" style="326" min="2" max="2"/>
    <col width="11.25" bestFit="1" customWidth="1" style="326" min="4" max="4"/>
    <col width="16.25" customWidth="1" style="326" min="7" max="7"/>
    <col width="14" bestFit="1" customWidth="1" style="326" min="8" max="8"/>
    <col width="12.875" bestFit="1" customWidth="1" style="326" min="9" max="9"/>
    <col width="16.75" bestFit="1" customWidth="1" style="326" min="11" max="11"/>
    <col width="10.25" bestFit="1" customWidth="1" style="326" min="12" max="13"/>
    <col width="9.125" bestFit="1" customWidth="1" style="326" min="14" max="14"/>
    <col width="11.125" bestFit="1" customWidth="1" style="326" min="15" max="15"/>
    <col width="13.75" customWidth="1" style="326" min="16" max="16"/>
    <col width="15.75" customWidth="1" style="326" min="17" max="17"/>
    <col width="16" bestFit="1" customWidth="1" style="326" min="18" max="18"/>
    <col width="12.5" customWidth="1" style="326" min="19" max="19"/>
    <col width="11" customWidth="1" style="326" min="20" max="20"/>
    <col width="12" customWidth="1" style="326" min="21" max="22"/>
  </cols>
  <sheetData>
    <row r="1">
      <c r="A1" s="10" t="n"/>
      <c r="B1" s="10" t="n"/>
      <c r="C1" s="10" t="n"/>
      <c r="D1" s="10" t="n"/>
      <c r="E1" s="10" t="n"/>
      <c r="T1" s="0" t="inlineStr">
        <is>
          <t>剩余待补收益</t>
        </is>
      </c>
    </row>
    <row r="2">
      <c r="A2" s="4" t="inlineStr">
        <is>
          <t>日期</t>
        </is>
      </c>
      <c r="B2" s="0" t="inlineStr">
        <is>
          <t>现金流类型</t>
        </is>
      </c>
      <c r="C2" s="0" t="inlineStr">
        <is>
          <t>现金流入</t>
        </is>
      </c>
      <c r="D2" s="0" t="inlineStr">
        <is>
          <t>现金流出</t>
        </is>
      </c>
      <c r="E2" s="563" t="inlineStr">
        <is>
          <t>期末余额</t>
        </is>
      </c>
      <c r="R2" s="0" t="inlineStr">
        <is>
          <t>23建鑫8C需补收益</t>
        </is>
      </c>
      <c r="S2" s="564" t="n">
        <v>591186</v>
      </c>
      <c r="T2" s="573">
        <f>+S2</f>
        <v/>
      </c>
    </row>
    <row r="3">
      <c r="A3" s="156" t="n">
        <v>46023</v>
      </c>
      <c r="B3" s="112" t="n"/>
      <c r="C3" s="112" t="n"/>
      <c r="D3" s="112" t="n"/>
      <c r="E3" s="572" t="n">
        <v>234</v>
      </c>
      <c r="R3" s="184" t="inlineStr">
        <is>
          <t>24兴瑞8C补</t>
        </is>
      </c>
      <c r="S3" s="564" t="n">
        <v>38739.041095891</v>
      </c>
      <c r="T3" s="573">
        <f>+T2-S3</f>
        <v/>
      </c>
    </row>
    <row r="4">
      <c r="A4" s="156" t="n"/>
      <c r="B4" s="112" t="n"/>
      <c r="C4" s="112" t="n"/>
      <c r="D4" s="112" t="n"/>
      <c r="E4" s="572">
        <f>+E3+C4-D4</f>
        <v/>
      </c>
      <c r="R4" s="184" t="inlineStr">
        <is>
          <t>23中誉1C</t>
        </is>
      </c>
      <c r="S4" s="573" t="n">
        <v>0</v>
      </c>
      <c r="T4" s="573">
        <f>+T3-S4</f>
        <v/>
      </c>
      <c r="U4" s="0" t="inlineStr">
        <is>
          <t>未交易</t>
        </is>
      </c>
    </row>
    <row r="5">
      <c r="A5" s="110" t="n">
        <v>46027</v>
      </c>
      <c r="B5" s="115" t="inlineStr">
        <is>
          <t>新增申购</t>
        </is>
      </c>
      <c r="C5" s="112" t="n">
        <v>972</v>
      </c>
      <c r="D5" s="112" t="n"/>
      <c r="E5" s="123">
        <f>E4+C5-D5</f>
        <v/>
      </c>
      <c r="R5" s="184" t="inlineStr">
        <is>
          <t>24臻粹3C</t>
        </is>
      </c>
      <c r="S5" s="573" t="n">
        <v>525</v>
      </c>
      <c r="T5" s="573">
        <f>+T4-S5</f>
        <v/>
      </c>
    </row>
    <row r="6">
      <c r="A6" s="110" t="n">
        <v>46030</v>
      </c>
      <c r="B6" s="115" t="inlineStr">
        <is>
          <t>新增申购</t>
        </is>
      </c>
      <c r="C6" s="112" t="n">
        <v>550</v>
      </c>
      <c r="D6" s="112" t="n"/>
      <c r="E6" s="123">
        <f>E5+C6-D6</f>
        <v/>
      </c>
      <c r="R6" s="184" t="inlineStr">
        <is>
          <t>24邮盈惠兴4C</t>
        </is>
      </c>
      <c r="S6" s="573" t="n">
        <v>18799.99999999996</v>
      </c>
      <c r="T6" s="573">
        <f>+T5-S6</f>
        <v/>
      </c>
    </row>
    <row r="7">
      <c r="A7" s="110" t="n">
        <v>46031</v>
      </c>
      <c r="B7" s="171" t="inlineStr">
        <is>
          <t>申购朗瑞1-8</t>
        </is>
      </c>
      <c r="C7" s="112" t="n"/>
      <c r="D7" s="112" t="n">
        <v>1200</v>
      </c>
      <c r="E7" s="123">
        <f>E6+C7-D7</f>
        <v/>
      </c>
      <c r="R7" s="184" t="inlineStr">
        <is>
          <t>23工元至诚8C</t>
        </is>
      </c>
      <c r="S7" s="564" t="n">
        <v>331499.9999999963</v>
      </c>
      <c r="T7" s="573">
        <f>+T6-S7</f>
        <v/>
      </c>
    </row>
    <row r="8">
      <c r="A8" s="110" t="n">
        <v>46031</v>
      </c>
      <c r="B8" s="112" t="inlineStr">
        <is>
          <t>支付管理费</t>
        </is>
      </c>
      <c r="C8" s="112" t="n"/>
      <c r="D8" s="112" t="n">
        <v>120</v>
      </c>
      <c r="E8" s="123">
        <f>E7+C8-D8</f>
        <v/>
      </c>
      <c r="R8" s="184" t="inlineStr">
        <is>
          <t>25兴瑞1C</t>
        </is>
      </c>
      <c r="S8" s="564" t="n">
        <v>15479.99999999977</v>
      </c>
      <c r="T8" s="573">
        <f>+T7-S8</f>
        <v/>
      </c>
    </row>
    <row r="9">
      <c r="E9" s="123" t="n">
        <v>436</v>
      </c>
      <c r="F9" s="201" t="n"/>
      <c r="R9" s="184" t="inlineStr">
        <is>
          <t>25橙益4C</t>
        </is>
      </c>
      <c r="S9" s="564" t="n">
        <v>10010</v>
      </c>
      <c r="T9" s="573">
        <f>+T8-S9</f>
        <v/>
      </c>
    </row>
    <row r="10">
      <c r="A10" s="110" t="n">
        <v>46037</v>
      </c>
      <c r="B10" s="112" t="inlineStr">
        <is>
          <t>东吴申购</t>
        </is>
      </c>
      <c r="C10" s="112" t="n">
        <v>5000</v>
      </c>
      <c r="D10" s="112" t="n"/>
      <c r="E10" s="123">
        <f>E9+C10-D10</f>
        <v/>
      </c>
      <c r="R10" s="184" t="inlineStr">
        <is>
          <t>24浦鑫归航8C</t>
        </is>
      </c>
      <c r="S10" s="573" t="n">
        <v>54000</v>
      </c>
      <c r="T10" s="573">
        <f>+T9-S10</f>
        <v/>
      </c>
    </row>
    <row r="11">
      <c r="A11" s="110" t="n">
        <v>46037</v>
      </c>
      <c r="B11" s="171" t="inlineStr">
        <is>
          <t>新增申购</t>
        </is>
      </c>
      <c r="C11" s="112" t="n">
        <v>536</v>
      </c>
      <c r="D11" s="112" t="n"/>
      <c r="E11" s="123">
        <f>E10+C11-D11</f>
        <v/>
      </c>
      <c r="R11" s="184" t="inlineStr">
        <is>
          <t>24建欣6C</t>
        </is>
      </c>
      <c r="S11" s="0">
        <f>朗瑞1_8!T29</f>
        <v/>
      </c>
      <c r="T11" s="573">
        <f>+T10-S11</f>
        <v/>
      </c>
    </row>
    <row r="12">
      <c r="A12" s="110" t="n">
        <v>46038</v>
      </c>
      <c r="B12" s="112" t="inlineStr">
        <is>
          <t>申购朗瑞1-8</t>
        </is>
      </c>
      <c r="C12" s="112" t="n"/>
      <c r="D12" s="112" t="n">
        <v>500</v>
      </c>
      <c r="E12" s="123">
        <f>E11+C12-D12</f>
        <v/>
      </c>
      <c r="R12" s="184" t="inlineStr">
        <is>
          <t>24橙益17C</t>
        </is>
      </c>
      <c r="S12" s="0">
        <f>朗瑞1_8!T30</f>
        <v/>
      </c>
      <c r="T12" s="573">
        <f>+T11-S12</f>
        <v/>
      </c>
    </row>
    <row r="13">
      <c r="A13" s="117" t="n"/>
      <c r="E13" s="123">
        <f>E12+C13-D13</f>
        <v/>
      </c>
      <c r="R13" s="184" t="inlineStr">
        <is>
          <t>25浦鑫归航1C</t>
        </is>
      </c>
      <c r="S13" s="564">
        <f>鹏雅120!M16</f>
        <v/>
      </c>
      <c r="T13" s="573">
        <f>+T12-S13</f>
        <v/>
      </c>
    </row>
    <row r="14">
      <c r="A14" s="110" t="n"/>
      <c r="B14" s="112" t="n"/>
      <c r="C14" s="112" t="n"/>
      <c r="D14" s="112" t="n"/>
      <c r="E14" s="123">
        <f>E13+C14-D14</f>
        <v/>
      </c>
      <c r="G14" s="183" t="inlineStr">
        <is>
          <t>待买回证券</t>
        </is>
      </c>
    </row>
    <row r="15">
      <c r="A15" s="110" t="n"/>
      <c r="B15" s="162" t="n"/>
      <c r="C15" s="112" t="n"/>
      <c r="D15" s="112" t="n"/>
      <c r="E15" s="123">
        <f>E14+C15-D15</f>
        <v/>
      </c>
      <c r="G15" s="0" t="inlineStr">
        <is>
          <t>证券名称</t>
        </is>
      </c>
      <c r="H15" s="0" t="inlineStr">
        <is>
          <t>合作方</t>
        </is>
      </c>
      <c r="I15" s="0" t="inlineStr">
        <is>
          <t>资产类别</t>
        </is>
      </c>
      <c r="J15" s="0" t="inlineStr">
        <is>
          <t>成本</t>
        </is>
      </c>
      <c r="K15" s="0" t="inlineStr">
        <is>
          <t>合作方最早买入时间</t>
        </is>
      </c>
      <c r="L15" s="0" t="inlineStr">
        <is>
          <t>买入规模</t>
        </is>
      </c>
      <c r="M15" s="0" t="inlineStr">
        <is>
          <t>持仓规模</t>
        </is>
      </c>
      <c r="N15" s="0" t="inlineStr">
        <is>
          <t>剩余本金</t>
        </is>
      </c>
      <c r="O15" s="0" t="inlineStr">
        <is>
          <t xml:space="preserve">面值 </t>
        </is>
      </c>
      <c r="P15" s="0" t="inlineStr">
        <is>
          <t>下个本金兑付日</t>
        </is>
      </c>
      <c r="Q15" s="0" t="inlineStr">
        <is>
          <t>预计交易日期</t>
        </is>
      </c>
      <c r="R15" s="0" t="inlineStr">
        <is>
          <t>预期交易价格</t>
        </is>
      </c>
      <c r="S15" s="0" t="inlineStr">
        <is>
          <t>预计交易金额</t>
        </is>
      </c>
      <c r="T15" s="0" t="inlineStr">
        <is>
          <t>补23建鑫8C收益</t>
        </is>
      </c>
    </row>
    <row r="16">
      <c r="A16" s="110" t="n">
        <v>46044</v>
      </c>
      <c r="B16" s="112" t="inlineStr">
        <is>
          <t>申购朗瑞1-8</t>
        </is>
      </c>
      <c r="C16" s="112" t="n"/>
      <c r="D16" s="112" t="n">
        <v>2500</v>
      </c>
      <c r="E16" s="123">
        <f>E15+C16-D16</f>
        <v/>
      </c>
      <c r="G16" s="0" t="inlineStr">
        <is>
          <t>23中誉1C</t>
        </is>
      </c>
      <c r="H16" s="0" t="inlineStr">
        <is>
          <t>国泰海通</t>
        </is>
      </c>
      <c r="I16" s="0" t="inlineStr">
        <is>
          <t>住房抵押贷款</t>
        </is>
      </c>
      <c r="J16" s="464" t="n">
        <v>0.05</v>
      </c>
      <c r="K16" s="1" t="n">
        <v>45023</v>
      </c>
      <c r="L16" s="564" t="n">
        <v>89875</v>
      </c>
      <c r="M16" s="564" t="n">
        <v>75</v>
      </c>
      <c r="N16" s="564" t="n">
        <v>0</v>
      </c>
      <c r="O16" s="0" t="n">
        <v>39.25</v>
      </c>
      <c r="P16" s="1" t="n">
        <v>46079</v>
      </c>
      <c r="Q16" s="1" t="n">
        <v>46041</v>
      </c>
      <c r="R16" s="185">
        <f>I28</f>
        <v/>
      </c>
      <c r="S16" s="564">
        <f>R16*M16</f>
        <v/>
      </c>
      <c r="T16" s="573">
        <f>+(H28-I28)*M16</f>
        <v/>
      </c>
      <c r="U16" s="0" t="inlineStr">
        <is>
          <t>有可能本期本金兑付完毕</t>
        </is>
      </c>
    </row>
    <row r="17">
      <c r="A17" s="110" t="n">
        <v>46044</v>
      </c>
      <c r="B17" s="112" t="inlineStr">
        <is>
          <t>申购朗瑞1-5</t>
        </is>
      </c>
      <c r="C17" s="112" t="n"/>
      <c r="D17" s="112" t="n">
        <v>800</v>
      </c>
      <c r="E17" s="123">
        <f>E16+C17-D17</f>
        <v/>
      </c>
      <c r="G17" s="0" t="inlineStr">
        <is>
          <t>24臻粹3C</t>
        </is>
      </c>
      <c r="H17" s="0" t="inlineStr">
        <is>
          <t>国泰海通</t>
        </is>
      </c>
      <c r="I17" s="0" t="inlineStr">
        <is>
          <t>信用卡消费贷款</t>
        </is>
      </c>
      <c r="J17" s="464" t="n">
        <v>0.045</v>
      </c>
      <c r="K17" s="1" t="n">
        <v>45523</v>
      </c>
      <c r="L17" s="564" t="n">
        <v>82500</v>
      </c>
      <c r="M17" s="564" t="n">
        <v>700</v>
      </c>
      <c r="N17" s="564" t="n">
        <v>0</v>
      </c>
      <c r="O17" s="0" t="n">
        <v>40.27</v>
      </c>
      <c r="P17" s="1" t="n">
        <v>46045</v>
      </c>
      <c r="Q17" s="1">
        <f>+Q16</f>
        <v/>
      </c>
      <c r="R17" s="573">
        <f>+M30</f>
        <v/>
      </c>
      <c r="S17" s="564">
        <f>R17*M17</f>
        <v/>
      </c>
      <c r="T17" s="573">
        <f>+(L30-M30)*M17</f>
        <v/>
      </c>
      <c r="U17" s="0" t="inlineStr">
        <is>
          <t>月付，可推迟到下个月兑付前交易</t>
        </is>
      </c>
    </row>
    <row r="18">
      <c r="A18" s="110" t="n">
        <v>46045</v>
      </c>
      <c r="B18" s="112" t="inlineStr">
        <is>
          <t>新增申购</t>
        </is>
      </c>
      <c r="C18" s="112" t="n">
        <v>678</v>
      </c>
      <c r="D18" s="112" t="n"/>
      <c r="E18" s="123">
        <f>E17+C18-D18</f>
        <v/>
      </c>
      <c r="G18" s="0" t="inlineStr">
        <is>
          <t>24邮盈惠兴4C</t>
        </is>
      </c>
      <c r="H18" s="0" t="inlineStr">
        <is>
          <t>国泰海通</t>
        </is>
      </c>
      <c r="I18" s="0" t="inlineStr">
        <is>
          <t>信用卡消费贷款</t>
        </is>
      </c>
      <c r="J18" s="464" t="n">
        <v>0.05</v>
      </c>
      <c r="K18" s="1" t="n">
        <v>45806</v>
      </c>
      <c r="L18" s="564" t="n">
        <v>40000</v>
      </c>
      <c r="M18" s="564" t="n">
        <v>40000</v>
      </c>
      <c r="N18" s="564" t="n">
        <v>440.64</v>
      </c>
      <c r="O18" s="0" t="n">
        <v>23.83</v>
      </c>
      <c r="P18" s="1" t="n">
        <v>46048</v>
      </c>
      <c r="Q18" s="1">
        <f>+Q17</f>
        <v/>
      </c>
      <c r="R18" s="573">
        <f>+Q27</f>
        <v/>
      </c>
      <c r="S18" s="564">
        <f>R18*M18</f>
        <v/>
      </c>
      <c r="T18" s="573">
        <f>+(P27-Q27)*M18</f>
        <v/>
      </c>
      <c r="U18" s="0" t="inlineStr">
        <is>
          <t>本期必须买回</t>
        </is>
      </c>
    </row>
    <row r="19">
      <c r="A19" s="110" t="n">
        <v>46045</v>
      </c>
      <c r="B19" s="162" t="inlineStr">
        <is>
          <t>赎回</t>
        </is>
      </c>
      <c r="C19" s="112" t="n"/>
      <c r="D19" s="112" t="n">
        <v>74.59999999999999</v>
      </c>
      <c r="E19" s="123">
        <f>E18+C19-D19</f>
        <v/>
      </c>
      <c r="G19" s="0" t="inlineStr">
        <is>
          <t>24邮盈惠兴5C</t>
        </is>
      </c>
      <c r="H19" s="0" t="inlineStr">
        <is>
          <t>银河</t>
        </is>
      </c>
      <c r="I19" s="0" t="inlineStr">
        <is>
          <t>微小企业贷款</t>
        </is>
      </c>
      <c r="J19" s="464" t="n">
        <v>0.05</v>
      </c>
      <c r="K19" s="1" t="n">
        <v>45862</v>
      </c>
      <c r="L19" s="564" t="n">
        <v>14000</v>
      </c>
      <c r="M19" s="564" t="n">
        <v>14000</v>
      </c>
      <c r="N19" s="564" t="n">
        <v>88.60599999999999</v>
      </c>
      <c r="O19" s="0" t="n">
        <v>40.05</v>
      </c>
      <c r="P19" s="1" t="n">
        <v>46048</v>
      </c>
      <c r="Q19" s="1">
        <f>+Q18</f>
        <v/>
      </c>
      <c r="R19" s="573">
        <f>+H40</f>
        <v/>
      </c>
      <c r="S19" s="564">
        <f>R19*M19</f>
        <v/>
      </c>
      <c r="U19" s="0" t="inlineStr">
        <is>
          <t>本期必须买回</t>
        </is>
      </c>
    </row>
    <row r="20">
      <c r="A20" s="110" t="n">
        <v>46045</v>
      </c>
      <c r="B20" s="112" t="inlineStr">
        <is>
          <t>中航信托收款</t>
        </is>
      </c>
      <c r="C20" s="112" t="n">
        <v>80.7</v>
      </c>
      <c r="D20" s="112" t="n"/>
      <c r="E20" s="123">
        <f>E19+C20-D20</f>
        <v/>
      </c>
      <c r="G20" s="0" t="inlineStr">
        <is>
          <t>24中誉至诚9C</t>
        </is>
      </c>
      <c r="H20" s="0" t="inlineStr">
        <is>
          <t>国联</t>
        </is>
      </c>
      <c r="I20" s="0" t="inlineStr">
        <is>
          <t>信用卡消费贷款</t>
        </is>
      </c>
      <c r="J20" s="464" t="n">
        <v>0.05</v>
      </c>
      <c r="K20" s="1" t="n">
        <v>45656</v>
      </c>
      <c r="L20" s="564" t="n">
        <v>6800</v>
      </c>
      <c r="M20" s="564" t="n">
        <v>6800</v>
      </c>
      <c r="N20" s="564" t="n">
        <v>68.68000000000001</v>
      </c>
      <c r="O20" s="0" t="n">
        <v>100</v>
      </c>
      <c r="P20" s="1" t="n">
        <v>46048</v>
      </c>
      <c r="Q20" s="1">
        <f>+Q19</f>
        <v/>
      </c>
      <c r="R20" s="573">
        <f>+L38</f>
        <v/>
      </c>
      <c r="S20" s="564">
        <f>R20*M20</f>
        <v/>
      </c>
    </row>
    <row r="21">
      <c r="A21" s="110" t="n">
        <v>46051</v>
      </c>
      <c r="B21" s="112" t="inlineStr">
        <is>
          <t>赎回朗瑞1-5</t>
        </is>
      </c>
      <c r="C21" s="112" t="n">
        <v>507</v>
      </c>
      <c r="D21" s="112" t="n"/>
      <c r="E21" s="123">
        <f>E20+C21-D21</f>
        <v/>
      </c>
      <c r="S21" s="597">
        <f>SUM(S17:S20)</f>
        <v/>
      </c>
    </row>
    <row r="22">
      <c r="A22" s="110" t="n"/>
      <c r="B22" s="112" t="n"/>
      <c r="C22" s="112" t="n"/>
      <c r="D22" s="112" t="n"/>
      <c r="E22" s="572">
        <f>+E21+C22-D22</f>
        <v/>
      </c>
    </row>
    <row r="23">
      <c r="A23" s="110" t="n"/>
      <c r="B23" s="112" t="n"/>
      <c r="C23" s="112" t="n"/>
      <c r="D23" s="112" t="n"/>
      <c r="E23" s="572">
        <f>+E22+C23-D23</f>
        <v/>
      </c>
      <c r="G23" s="0" t="inlineStr">
        <is>
          <t>23中誉1C</t>
        </is>
      </c>
      <c r="H23" s="464">
        <f>XIRR(H24:H30,G24:G30)</f>
        <v/>
      </c>
      <c r="I23" s="464">
        <f>XIRR(I24:I30,G24:G30)</f>
        <v/>
      </c>
      <c r="K23" s="0" t="inlineStr">
        <is>
          <t>24臻粹3C</t>
        </is>
      </c>
      <c r="L23" s="464">
        <f>XIRR(L24:L30,K24:K30)</f>
        <v/>
      </c>
      <c r="M23" s="464">
        <f>XIRR(M24:M30,K24:K30)</f>
        <v/>
      </c>
      <c r="O23" s="0" t="inlineStr">
        <is>
          <t>24邮盈惠兴4C</t>
        </is>
      </c>
      <c r="P23" s="464">
        <f>XIRR(P24:P27,O24:O27)</f>
        <v/>
      </c>
      <c r="Q23" s="464">
        <f>XIRR(Q24:Q30,O24:O30)</f>
        <v/>
      </c>
    </row>
    <row r="24">
      <c r="A24" s="110" t="n"/>
      <c r="B24" s="115" t="n"/>
      <c r="C24" s="112" t="n"/>
      <c r="D24" s="112" t="n"/>
      <c r="E24" s="572">
        <f>+E23+C24-D24</f>
        <v/>
      </c>
      <c r="G24" s="1" t="n">
        <v>45023</v>
      </c>
      <c r="H24" s="0" t="n">
        <v>-108</v>
      </c>
      <c r="I24" s="0">
        <f>+H24</f>
        <v/>
      </c>
      <c r="K24" s="1" t="n">
        <v>45523</v>
      </c>
      <c r="L24" s="0" t="n">
        <v>-111</v>
      </c>
      <c r="M24" s="0">
        <f>+L24</f>
        <v/>
      </c>
      <c r="O24" s="1" t="n">
        <v>45806</v>
      </c>
      <c r="P24" s="0" t="n">
        <v>-110.16</v>
      </c>
      <c r="Q24" s="0">
        <f>+P24</f>
        <v/>
      </c>
    </row>
    <row r="25">
      <c r="A25" s="156" t="n"/>
      <c r="B25" s="112" t="n"/>
      <c r="C25" s="112" t="n"/>
      <c r="D25" s="112" t="n"/>
      <c r="E25" s="572">
        <f>+E24+C25-D25</f>
        <v/>
      </c>
      <c r="G25" s="1" t="n">
        <v>45530.00049768519</v>
      </c>
      <c r="H25" s="0" t="n">
        <v>8.779999999999999</v>
      </c>
      <c r="I25" s="0">
        <f>+H25</f>
        <v/>
      </c>
      <c r="J25" s="464" t="n"/>
      <c r="K25" s="1" t="n">
        <v>45894.00049768519</v>
      </c>
      <c r="L25" s="0" t="n">
        <v>7.55</v>
      </c>
      <c r="M25" s="0">
        <f>+L25</f>
        <v/>
      </c>
      <c r="O25" s="1" t="n">
        <v>45866.00049768519</v>
      </c>
      <c r="P25" s="0" t="n">
        <v>22.53</v>
      </c>
      <c r="Q25" s="0">
        <f>+P25</f>
        <v/>
      </c>
    </row>
    <row r="26">
      <c r="A26" s="110" t="n">
        <v>46052</v>
      </c>
      <c r="B26" s="112" t="inlineStr">
        <is>
          <t>鹏雅120</t>
        </is>
      </c>
      <c r="C26" s="112" t="n"/>
      <c r="D26" s="112" t="n">
        <v>300</v>
      </c>
      <c r="E26" s="572">
        <f>+E25+C26-D26</f>
        <v/>
      </c>
      <c r="G26" s="1" t="n">
        <v>45714.00049768519</v>
      </c>
      <c r="H26" s="0" t="n">
        <v>31.21</v>
      </c>
      <c r="I26" s="0">
        <f>+H26</f>
        <v/>
      </c>
      <c r="J26" s="464" t="n"/>
      <c r="K26" s="1" t="n">
        <v>45923.00049768519</v>
      </c>
      <c r="L26" s="0" t="n">
        <v>10.36</v>
      </c>
      <c r="M26" s="0">
        <f>+L26</f>
        <v/>
      </c>
      <c r="O26" s="1" t="n">
        <v>45957.00049768519</v>
      </c>
      <c r="P26" s="0" t="n">
        <v>53.64</v>
      </c>
      <c r="Q26" s="0">
        <f>+P26</f>
        <v/>
      </c>
    </row>
    <row r="27">
      <c r="A27" s="110" t="n">
        <v>46055</v>
      </c>
      <c r="B27" s="112" t="inlineStr">
        <is>
          <t>新增申购</t>
        </is>
      </c>
      <c r="C27" s="112" t="n">
        <v>138</v>
      </c>
      <c r="D27" s="112" t="n"/>
      <c r="E27" s="572">
        <f>+E26+C27-D27</f>
        <v/>
      </c>
      <c r="G27" s="1" t="n">
        <v>45895.00049768519</v>
      </c>
      <c r="H27" s="0" t="n">
        <v>20.76</v>
      </c>
      <c r="I27" s="0">
        <f>+H27</f>
        <v/>
      </c>
      <c r="J27" s="464" t="n"/>
      <c r="K27" s="1" t="n">
        <v>45953.00049768519</v>
      </c>
      <c r="L27" s="0" t="n">
        <v>14.23</v>
      </c>
      <c r="M27" s="0">
        <f>+L27</f>
        <v/>
      </c>
      <c r="O27" s="1">
        <f>Q18</f>
        <v/>
      </c>
      <c r="P27" s="564" t="n">
        <v>36.37</v>
      </c>
      <c r="Q27" s="564" t="n">
        <v>35.9</v>
      </c>
    </row>
    <row r="28">
      <c r="A28" s="110" t="n">
        <v>46055</v>
      </c>
      <c r="B28" s="115" t="inlineStr">
        <is>
          <t>赎回</t>
        </is>
      </c>
      <c r="C28" s="112" t="n"/>
      <c r="D28" s="112" t="n">
        <v>47</v>
      </c>
      <c r="E28" s="572">
        <f>+E27+C28-D28</f>
        <v/>
      </c>
      <c r="G28" s="1">
        <f>+Q16</f>
        <v/>
      </c>
      <c r="H28" s="185" t="n">
        <v>60.6</v>
      </c>
      <c r="I28" s="185" t="n">
        <v>57.8</v>
      </c>
      <c r="J28" s="464" t="n"/>
      <c r="K28" s="1" t="n">
        <v>45985.00049768519</v>
      </c>
      <c r="L28" s="0" t="n">
        <v>14.32</v>
      </c>
      <c r="M28" s="0">
        <f>+L28</f>
        <v/>
      </c>
      <c r="O28" s="1" t="n"/>
      <c r="P28" s="217" t="inlineStr">
        <is>
          <t>23工元至诚8C[2389487.IB] ，1300w，126.90,1月22日，t+0，国泰海通 冉雅婷 to 外贸信托朗瑞1号8期 孟亚琪</t>
        </is>
      </c>
    </row>
    <row r="29">
      <c r="A29" s="110" t="n"/>
      <c r="B29" s="112" t="n"/>
      <c r="C29" s="112" t="n"/>
      <c r="D29" s="112" t="n"/>
      <c r="E29" s="572">
        <f>+E28+C29-D29</f>
        <v/>
      </c>
      <c r="J29" s="464" t="n"/>
      <c r="K29" s="1" t="n">
        <v>46014.00049768519</v>
      </c>
      <c r="L29" s="0" t="n">
        <v>13.27</v>
      </c>
      <c r="M29" s="0">
        <f>+L29</f>
        <v/>
      </c>
      <c r="O29" s="1" t="n"/>
      <c r="P29" s="0" t="inlineStr">
        <is>
          <t>25橙益4C[2589087.IB] ，130w，108.12,1月22日，t+0，国泰海通 冉雅婷 to 外贸信托朗瑞1号8期 孟亚琪</t>
        </is>
      </c>
    </row>
    <row r="30">
      <c r="A30" s="110" t="n"/>
      <c r="B30" s="115" t="n"/>
      <c r="C30" s="112" t="n"/>
      <c r="D30" s="112" t="n"/>
      <c r="E30" s="572">
        <f>+E29+C30-D30</f>
        <v/>
      </c>
      <c r="J30" s="464" t="n"/>
      <c r="K30" s="1">
        <f>+Q17</f>
        <v/>
      </c>
      <c r="L30" s="564" t="n">
        <v>57.85</v>
      </c>
      <c r="M30" s="564" t="n">
        <v>57.1</v>
      </c>
      <c r="P30" s="0" t="inlineStr">
        <is>
          <t>25兴瑞1C[2589025.IB] ，180w，108.48,1月22日，t+0，国泰海通 冉雅婷 to 外贸信托朗瑞1号8期 孟亚琪</t>
        </is>
      </c>
    </row>
    <row r="31">
      <c r="A31" s="252" t="n">
        <v>46056</v>
      </c>
      <c r="B31" s="253" t="inlineStr">
        <is>
          <t>全景1号</t>
        </is>
      </c>
      <c r="C31" s="253" t="n"/>
      <c r="D31" s="253" t="n">
        <v>2000</v>
      </c>
      <c r="E31" s="572">
        <f>+E30+C31-D31</f>
        <v/>
      </c>
      <c r="G31" s="1" t="n"/>
      <c r="I31" s="464" t="n"/>
      <c r="J31" s="464" t="n"/>
      <c r="P31" s="217" t="inlineStr">
        <is>
          <t>24浦鑫归航8C[2489436.IB]，500w，104.29,1月22日，t+0，国泰海通 冉雅婷 to 外贸信托朗瑞1号8期 孟亚琪</t>
        </is>
      </c>
    </row>
    <row r="32">
      <c r="A32" s="252" t="n"/>
      <c r="B32" s="253" t="n"/>
      <c r="C32" s="253" t="n"/>
      <c r="D32" s="253" t="n"/>
      <c r="E32" s="572">
        <f>+E31+C32-D32</f>
        <v/>
      </c>
      <c r="G32" s="0" t="inlineStr">
        <is>
          <t>24臻粹3C[2489229.IB]，7w，全价57.1,1月16日，t+0，国泰海通 冉雅婷 to 外贸信托朗瑞1号8期 孟亚琪</t>
        </is>
      </c>
      <c r="I32" s="1" t="n"/>
      <c r="K32" s="464" t="n"/>
      <c r="L32" s="464" t="n"/>
      <c r="P32" s="0" t="inlineStr">
        <is>
          <t>23工元至诚8C</t>
        </is>
      </c>
      <c r="Q32" s="215">
        <f>XIRR(Q33:Q34,P33:P34)</f>
        <v/>
      </c>
      <c r="R32" s="215">
        <f>XIRR(R33:R34,P33:P34)</f>
        <v/>
      </c>
      <c r="T32" s="0" t="inlineStr">
        <is>
          <t>25橙益4C</t>
        </is>
      </c>
      <c r="U32" s="215">
        <f>XIRR(U33:U34,T33:T34)</f>
        <v/>
      </c>
      <c r="V32" s="215">
        <f>XIRR(V33:V34,T33:T34)</f>
        <v/>
      </c>
    </row>
    <row r="33">
      <c r="A33" s="252" t="n">
        <v>46062</v>
      </c>
      <c r="B33" s="253" t="inlineStr">
        <is>
          <t>申购</t>
        </is>
      </c>
      <c r="C33" s="253" t="n">
        <v>1449</v>
      </c>
      <c r="D33" s="253" t="n"/>
      <c r="E33" s="572" t="n">
        <v>2600</v>
      </c>
      <c r="G33" s="0" t="inlineStr">
        <is>
          <t>24邮盈惠兴4C[2489188.IB]，400w，全价35.9,1月16日，t+0，国泰海通 冉雅婷 to 外贸信托朗瑞1号8期 孟亚琪</t>
        </is>
      </c>
      <c r="I33" s="1" t="n"/>
      <c r="K33" s="464" t="n"/>
      <c r="L33" s="464" t="n"/>
      <c r="P33" s="1" t="n">
        <v>45288</v>
      </c>
      <c r="Q33" s="0" t="n">
        <v>-117</v>
      </c>
      <c r="R33" s="0">
        <f>Q33</f>
        <v/>
      </c>
      <c r="T33" s="1" t="n">
        <v>45772</v>
      </c>
      <c r="U33" s="0" t="n">
        <v>-105</v>
      </c>
      <c r="V33" s="0">
        <f>U33</f>
        <v/>
      </c>
    </row>
    <row r="34">
      <c r="A34" s="156" t="n">
        <v>46062</v>
      </c>
      <c r="B34" s="253" t="inlineStr">
        <is>
          <t>追加鹏雅120</t>
        </is>
      </c>
      <c r="C34" s="112" t="n"/>
      <c r="D34" s="112" t="n">
        <v>1850</v>
      </c>
      <c r="E34" s="572">
        <f>+E33+C34-D34</f>
        <v/>
      </c>
      <c r="G34" s="0" t="inlineStr">
        <is>
          <t>24邮盈惠兴5C[2489255.IB]，140w，全价47.9555, 1月19日，t+0，银河 赵恩聪 to 外贸信托朗瑞1号8期 孟亚琪</t>
        </is>
      </c>
      <c r="I34" s="1" t="n"/>
      <c r="K34" s="464" t="n"/>
      <c r="L34" s="464" t="n"/>
      <c r="P34" s="1" t="n">
        <v>46044</v>
      </c>
      <c r="Q34" s="0" t="n">
        <v>129.45</v>
      </c>
      <c r="R34" s="598" t="n">
        <v>126.9</v>
      </c>
      <c r="T34" s="1" t="n">
        <v>46044</v>
      </c>
      <c r="U34" s="0" t="n">
        <v>108.89</v>
      </c>
      <c r="V34" s="598" t="n">
        <v>108.12</v>
      </c>
    </row>
    <row r="35">
      <c r="A35" s="156" t="n">
        <v>46065</v>
      </c>
      <c r="B35" s="253" t="inlineStr">
        <is>
          <t>申购</t>
        </is>
      </c>
      <c r="C35" s="112" t="n">
        <v>56</v>
      </c>
      <c r="D35" s="112" t="n"/>
      <c r="E35" s="572">
        <f>+E34+C35-D35</f>
        <v/>
      </c>
      <c r="G35" s="0" t="inlineStr">
        <is>
          <t>24中誉至诚9C[2489430.IB]，68w，全价106.33,1月16日，t+0，国联 to 外贸信托朗瑞1号8期 孟亚琪（未成交）</t>
        </is>
      </c>
      <c r="I35" s="1" t="n"/>
      <c r="J35" s="464" t="n"/>
      <c r="K35" s="464" t="n"/>
      <c r="L35" s="464" t="n"/>
      <c r="P35" s="0" t="inlineStr">
        <is>
          <t>交易份额</t>
        </is>
      </c>
      <c r="Q35" s="0" t="n">
        <v>1300</v>
      </c>
      <c r="R35" s="0">
        <f>Q35</f>
        <v/>
      </c>
      <c r="T35" s="0" t="inlineStr">
        <is>
          <t>交易份额</t>
        </is>
      </c>
      <c r="U35" s="0" t="n">
        <v>130</v>
      </c>
      <c r="V35" s="0">
        <f>U35</f>
        <v/>
      </c>
    </row>
    <row r="36">
      <c r="A36" s="156" t="n"/>
      <c r="B36" s="112" t="n"/>
      <c r="C36" s="112" t="n"/>
      <c r="D36" s="274" t="n"/>
      <c r="E36" s="572" t="n">
        <v>809</v>
      </c>
      <c r="G36" s="0" t="inlineStr">
        <is>
          <t>24邮盈惠兴5C</t>
        </is>
      </c>
      <c r="H36" s="464">
        <f>XIRR(H37:H40,G37:G40)</f>
        <v/>
      </c>
      <c r="I36" s="464" t="n"/>
      <c r="K36" s="0" t="inlineStr">
        <is>
          <t>24中誉至诚9C</t>
        </is>
      </c>
      <c r="L36" s="464">
        <f>XIRR(L37:L43,K37:K43)</f>
        <v/>
      </c>
      <c r="P36" s="0" t="inlineStr">
        <is>
          <t>交易金额</t>
        </is>
      </c>
      <c r="Q36" s="564">
        <f>Q35*Q34*100</f>
        <v/>
      </c>
      <c r="R36" s="564">
        <f>R35*R34*100</f>
        <v/>
      </c>
      <c r="T36" s="0" t="inlineStr">
        <is>
          <t>交易金额</t>
        </is>
      </c>
      <c r="U36" s="564">
        <f>U35*U34*100</f>
        <v/>
      </c>
      <c r="V36" s="564">
        <f>V35*V34*100</f>
        <v/>
      </c>
    </row>
    <row r="37">
      <c r="A37" s="156" t="n">
        <v>46078</v>
      </c>
      <c r="B37" s="112" t="inlineStr">
        <is>
          <t>回款</t>
        </is>
      </c>
      <c r="C37" s="112" t="n">
        <v>451</v>
      </c>
      <c r="D37" s="112" t="n"/>
      <c r="E37" s="572">
        <f>+E36+C37-D37</f>
        <v/>
      </c>
      <c r="G37" s="1" t="n">
        <v>45862</v>
      </c>
      <c r="H37" s="564" t="n">
        <v>-106.22</v>
      </c>
      <c r="I37" s="564" t="n"/>
      <c r="K37" s="1" t="n">
        <v>45656</v>
      </c>
      <c r="L37" s="564" t="n">
        <v>-101</v>
      </c>
      <c r="P37" s="0" t="inlineStr">
        <is>
          <t>补23建鑫8C收益</t>
        </is>
      </c>
      <c r="Q37" s="573">
        <f>Q36-R36</f>
        <v/>
      </c>
      <c r="T37" s="0" t="inlineStr">
        <is>
          <t>补23建鑫8C收益</t>
        </is>
      </c>
      <c r="U37" s="573">
        <f>U36-V36</f>
        <v/>
      </c>
    </row>
    <row r="38">
      <c r="A38" s="156" t="n">
        <v>46078</v>
      </c>
      <c r="B38" s="112" t="inlineStr">
        <is>
          <t>赎回</t>
        </is>
      </c>
      <c r="C38" s="112" t="n"/>
      <c r="D38" s="274" t="n">
        <v>105.8</v>
      </c>
      <c r="E38" s="572">
        <f>+E37+C38-D38</f>
        <v/>
      </c>
      <c r="G38" s="1" t="n">
        <v>45866</v>
      </c>
      <c r="H38" s="564" t="n">
        <v>17.02</v>
      </c>
      <c r="I38" s="564" t="n"/>
      <c r="K38" s="1">
        <f>+Q20</f>
        <v/>
      </c>
      <c r="L38" s="564" t="n">
        <v>106.33</v>
      </c>
    </row>
    <row r="39">
      <c r="A39" s="156" t="n">
        <v>46079</v>
      </c>
      <c r="B39" s="112" t="inlineStr">
        <is>
          <t>赎回</t>
        </is>
      </c>
      <c r="C39" s="112" t="n"/>
      <c r="D39" s="112">
        <f>9.9*1.07</f>
        <v/>
      </c>
      <c r="E39" s="572">
        <f>+E38+C39-D39</f>
        <v/>
      </c>
      <c r="G39" s="1" t="n">
        <v>45957</v>
      </c>
      <c r="H39" s="564" t="n">
        <v>42.93</v>
      </c>
      <c r="I39" s="564" t="n"/>
      <c r="P39" s="0" t="inlineStr">
        <is>
          <t>25兴瑞1C</t>
        </is>
      </c>
      <c r="Q39" s="215">
        <f>XIRR(Q40:Q41,P40:P41)</f>
        <v/>
      </c>
      <c r="R39" s="215">
        <f>XIRR(R40:R41,P40:P41)</f>
        <v/>
      </c>
      <c r="T39" s="0" t="inlineStr">
        <is>
          <t>24浦鑫归航8C</t>
        </is>
      </c>
      <c r="U39" s="215">
        <f>XIRR(U40:U41,T40:T41)</f>
        <v/>
      </c>
      <c r="V39" s="215">
        <f>XIRR(V40:V41,T40:T41)</f>
        <v/>
      </c>
    </row>
    <row r="40">
      <c r="A40" s="112" t="n"/>
      <c r="B40" s="112" t="n"/>
      <c r="C40" s="112" t="n"/>
      <c r="D40" s="112" t="n"/>
      <c r="E40" s="572">
        <f>+E39+C40-D40</f>
        <v/>
      </c>
      <c r="G40" s="1">
        <f>Q19</f>
        <v/>
      </c>
      <c r="H40" s="564" t="n">
        <v>47.9555</v>
      </c>
      <c r="P40" s="1" t="n">
        <v>45741</v>
      </c>
      <c r="Q40" s="0" t="n">
        <v>-105</v>
      </c>
      <c r="R40" s="0" t="n">
        <v>-105</v>
      </c>
      <c r="T40" s="1" t="n">
        <v>45653</v>
      </c>
      <c r="U40" s="0" t="n">
        <v>-100</v>
      </c>
      <c r="V40" s="0">
        <f>U40</f>
        <v/>
      </c>
    </row>
    <row r="41">
      <c r="A41" s="156" t="n"/>
      <c r="B41" s="253" t="n"/>
      <c r="C41" s="112" t="n"/>
      <c r="D41" s="112" t="n"/>
      <c r="E41" s="572">
        <f>+E40+C41-D41</f>
        <v/>
      </c>
      <c r="P41" s="1" t="n">
        <v>46044</v>
      </c>
      <c r="Q41" s="0" t="n">
        <v>109.34</v>
      </c>
      <c r="R41" s="598" t="n">
        <v>108.48</v>
      </c>
      <c r="T41" s="1" t="n">
        <v>46044</v>
      </c>
      <c r="U41" s="0" t="n">
        <v>105.37</v>
      </c>
      <c r="V41" s="598" t="n">
        <v>104.29</v>
      </c>
    </row>
    <row r="42">
      <c r="A42" s="156" t="n"/>
      <c r="B42" s="253" t="n"/>
      <c r="C42" s="112" t="n"/>
      <c r="D42" s="112" t="n"/>
      <c r="E42" s="572">
        <f>+E41+C42-D42</f>
        <v/>
      </c>
      <c r="F42" s="0" t="inlineStr">
        <is>
          <t>2/27赎回</t>
        </is>
      </c>
      <c r="G42" s="563" t="n"/>
      <c r="H42" s="586" t="n"/>
      <c r="I42" s="564" t="n"/>
      <c r="P42" s="0" t="inlineStr">
        <is>
          <t>交易份额</t>
        </is>
      </c>
      <c r="Q42" s="0" t="n">
        <v>180</v>
      </c>
      <c r="R42" s="0">
        <f>Q42</f>
        <v/>
      </c>
      <c r="T42" s="0" t="inlineStr">
        <is>
          <t>交易份额</t>
        </is>
      </c>
      <c r="U42" s="0" t="n">
        <v>500</v>
      </c>
      <c r="V42" s="0">
        <f>U42</f>
        <v/>
      </c>
    </row>
    <row r="43">
      <c r="A43" s="110" t="n">
        <v>46084</v>
      </c>
      <c r="B43" s="253" t="inlineStr">
        <is>
          <t>朗瑞1-8赎回</t>
        </is>
      </c>
      <c r="C43" s="112" t="n">
        <v>1200</v>
      </c>
      <c r="D43" s="112" t="n"/>
      <c r="E43" s="572">
        <f>+E42+C43-D43</f>
        <v/>
      </c>
      <c r="F43" s="0" t="inlineStr">
        <is>
          <t>2/27赎回</t>
        </is>
      </c>
      <c r="I43" s="564" t="n"/>
      <c r="P43" s="0" t="inlineStr">
        <is>
          <t>交易金额</t>
        </is>
      </c>
      <c r="Q43" s="564">
        <f>Q42*Q41*100</f>
        <v/>
      </c>
      <c r="R43" s="564">
        <f>R42*R41*100</f>
        <v/>
      </c>
      <c r="T43" s="0" t="inlineStr">
        <is>
          <t>交易金额</t>
        </is>
      </c>
      <c r="U43" s="564">
        <f>U42*U41*100</f>
        <v/>
      </c>
      <c r="V43" s="564">
        <f>V42*V41*100</f>
        <v/>
      </c>
    </row>
    <row r="44">
      <c r="A44" s="110" t="n">
        <v>46084</v>
      </c>
      <c r="B44" s="253" t="inlineStr">
        <is>
          <t>全景1号</t>
        </is>
      </c>
      <c r="C44" s="112" t="n"/>
      <c r="D44" s="112" t="n">
        <v>1000</v>
      </c>
      <c r="E44" s="572">
        <f>+E43+C44-D44</f>
        <v/>
      </c>
      <c r="P44" s="0" t="inlineStr">
        <is>
          <t>补23建鑫8C收益</t>
        </is>
      </c>
      <c r="Q44" s="573">
        <f>Q43-R43</f>
        <v/>
      </c>
      <c r="T44" s="0" t="inlineStr">
        <is>
          <t>补23建鑫8C收益</t>
        </is>
      </c>
      <c r="U44" s="573">
        <f>U43-V43</f>
        <v/>
      </c>
    </row>
    <row r="45">
      <c r="A45" s="110" t="n">
        <v>46085</v>
      </c>
      <c r="B45" s="253" t="inlineStr">
        <is>
          <t>鹏雅120提取</t>
        </is>
      </c>
      <c r="C45" s="112" t="n">
        <v>660</v>
      </c>
      <c r="D45" s="112" t="n"/>
      <c r="E45" s="572">
        <f>+E44+C45-D45</f>
        <v/>
      </c>
      <c r="Q45" s="573" t="n"/>
      <c r="U45" s="573" t="n"/>
    </row>
    <row r="46">
      <c r="A46" s="110" t="n">
        <v>46085</v>
      </c>
      <c r="B46" s="253" t="inlineStr">
        <is>
          <t>申购朗瑞1-5</t>
        </is>
      </c>
      <c r="C46" s="112" t="n"/>
      <c r="D46" s="112" t="n">
        <v>5</v>
      </c>
      <c r="E46" s="572" t="n">
        <v>2001</v>
      </c>
      <c r="Q46" s="573" t="n"/>
      <c r="U46" s="573" t="n"/>
    </row>
    <row r="47">
      <c r="A47" s="110" t="n">
        <v>46086</v>
      </c>
      <c r="B47" s="253" t="inlineStr">
        <is>
          <t>申购</t>
        </is>
      </c>
      <c r="C47" s="112" t="n">
        <v>900</v>
      </c>
      <c r="D47" s="112" t="n"/>
      <c r="E47" s="572">
        <f>+E46+C47-D47</f>
        <v/>
      </c>
    </row>
    <row r="48">
      <c r="A48" s="112" t="n"/>
      <c r="B48" s="112" t="n"/>
      <c r="C48" s="112" t="n"/>
      <c r="D48" s="112" t="n"/>
      <c r="E48" s="572">
        <f>+E47+C48-D48</f>
        <v/>
      </c>
    </row>
    <row r="49">
      <c r="A49" s="110" t="n">
        <v>46094</v>
      </c>
      <c r="B49" s="112" t="inlineStr">
        <is>
          <t>申购</t>
        </is>
      </c>
      <c r="C49" s="112" t="n">
        <v>1084</v>
      </c>
      <c r="D49" s="112" t="n"/>
      <c r="E49" s="572">
        <f>+E48+C49-D49</f>
        <v/>
      </c>
    </row>
    <row r="50">
      <c r="A50" s="110" t="n">
        <v>46094</v>
      </c>
      <c r="B50" s="112" t="inlineStr">
        <is>
          <t>申购朗瑞1-8</t>
        </is>
      </c>
      <c r="C50" s="112" t="n"/>
      <c r="D50" s="112" t="n">
        <v>100</v>
      </c>
      <c r="E50" s="572">
        <f>+E49+C50-D50</f>
        <v/>
      </c>
    </row>
    <row r="51">
      <c r="A51" s="110" t="n">
        <v>46094</v>
      </c>
      <c r="B51" s="112" t="inlineStr">
        <is>
          <t>朗瑞1-8赎回</t>
        </is>
      </c>
      <c r="C51" s="112" t="n">
        <v>2200</v>
      </c>
      <c r="D51" s="112" t="n"/>
      <c r="E51" s="572">
        <f>+E50+C51-D51</f>
        <v/>
      </c>
    </row>
    <row r="52">
      <c r="A52" s="110" t="n"/>
      <c r="B52" s="112" t="n"/>
      <c r="C52" s="112" t="n"/>
      <c r="D52" s="112" t="n"/>
      <c r="E52" s="572">
        <f>+E51+C52-D52</f>
        <v/>
      </c>
    </row>
    <row r="53">
      <c r="A53" s="110" t="n">
        <v>46099</v>
      </c>
      <c r="B53" s="112" t="inlineStr">
        <is>
          <t>鹏雅120提取</t>
        </is>
      </c>
      <c r="C53" s="112" t="n">
        <v>276</v>
      </c>
      <c r="D53" s="112" t="n"/>
      <c r="E53" s="572">
        <f>+E52+C53-D53</f>
        <v/>
      </c>
    </row>
    <row r="54">
      <c r="A54" s="110" t="n">
        <v>46100</v>
      </c>
      <c r="B54" s="112" t="inlineStr">
        <is>
          <t>新增申购</t>
        </is>
      </c>
      <c r="C54" s="112" t="n">
        <v>606</v>
      </c>
      <c r="D54" s="112" t="n"/>
      <c r="E54" s="572">
        <f>+E53+C54-D54</f>
        <v/>
      </c>
    </row>
    <row r="55">
      <c r="E55" s="563">
        <f>+E54+C55-D55</f>
        <v/>
      </c>
    </row>
    <row r="56">
      <c r="A56" s="110" t="n">
        <v>46104</v>
      </c>
      <c r="B56" s="112" t="inlineStr">
        <is>
          <t>朗瑞1-5申购</t>
        </is>
      </c>
      <c r="C56" s="112" t="n"/>
      <c r="D56" s="112" t="n">
        <v>300</v>
      </c>
      <c r="E56" s="572">
        <f>+E55+C56-D56</f>
        <v/>
      </c>
    </row>
    <row r="57">
      <c r="A57" s="110" t="n">
        <v>46105</v>
      </c>
      <c r="B57" s="112" t="inlineStr">
        <is>
          <t>鹏雅120追加</t>
        </is>
      </c>
      <c r="C57" s="112" t="n"/>
      <c r="D57" s="112" t="n">
        <v>1030</v>
      </c>
      <c r="E57" s="572">
        <f>+E56+C57-D57</f>
        <v/>
      </c>
    </row>
    <row r="58">
      <c r="A58" s="110" t="n">
        <v>46105</v>
      </c>
      <c r="B58" s="112" t="inlineStr">
        <is>
          <t>回款-天启</t>
        </is>
      </c>
      <c r="C58" s="112" t="n">
        <v>368</v>
      </c>
      <c r="D58" s="112" t="n"/>
      <c r="E58" s="572">
        <f>+E57+C58-D58</f>
        <v/>
      </c>
    </row>
    <row r="59">
      <c r="A59" s="110" t="n"/>
      <c r="B59" s="112" t="n"/>
      <c r="C59" s="112" t="n"/>
      <c r="D59" s="112" t="n"/>
      <c r="E59" s="572">
        <f>+E58+C59-D59</f>
        <v/>
      </c>
    </row>
    <row r="60">
      <c r="A60" s="110" t="n"/>
      <c r="B60" s="112" t="n"/>
      <c r="C60" s="112" t="n"/>
      <c r="D60" s="112" t="n"/>
      <c r="E60" s="572" t="n">
        <v>6004</v>
      </c>
    </row>
    <row r="61">
      <c r="A61" s="110" t="n"/>
      <c r="B61" s="112" t="n"/>
      <c r="C61" s="112" t="n"/>
      <c r="D61" s="112" t="n"/>
      <c r="E61" s="572">
        <f>+E60+C61-D61</f>
        <v/>
      </c>
    </row>
    <row r="62">
      <c r="A62" s="110" t="n">
        <v>46111</v>
      </c>
      <c r="B62" s="112" t="inlineStr">
        <is>
          <t>申购</t>
        </is>
      </c>
      <c r="C62" s="112" t="n">
        <v>880</v>
      </c>
      <c r="D62" s="112" t="n"/>
      <c r="E62" s="572">
        <f>+E61+C62-D62</f>
        <v/>
      </c>
    </row>
    <row r="63">
      <c r="A63" s="110" t="n"/>
      <c r="B63" s="112" t="n"/>
      <c r="C63" s="112" t="n"/>
      <c r="D63" s="112" t="n"/>
      <c r="E63" s="572">
        <f>+E62+C63-D63</f>
        <v/>
      </c>
    </row>
    <row r="64">
      <c r="A64" s="110" t="n">
        <v>46111</v>
      </c>
      <c r="B64" s="112" t="inlineStr">
        <is>
          <t>朗瑞1-8赎回</t>
        </is>
      </c>
      <c r="C64" s="112" t="n">
        <v>1663</v>
      </c>
      <c r="D64" s="112" t="n"/>
      <c r="E64" s="572">
        <f>+E63+C64-D64</f>
        <v/>
      </c>
    </row>
    <row r="65">
      <c r="A65" s="110" t="n">
        <v>46111</v>
      </c>
      <c r="B65" s="112" t="inlineStr">
        <is>
          <t>赎回</t>
        </is>
      </c>
      <c r="C65" s="112" t="n"/>
      <c r="D65" s="112" t="n">
        <v>745</v>
      </c>
      <c r="E65" s="572">
        <f>+E64+C65-D65</f>
        <v/>
      </c>
    </row>
    <row r="66">
      <c r="A66" s="110" t="n"/>
      <c r="B66" s="112" t="n"/>
      <c r="C66" s="112" t="n"/>
      <c r="D66" s="112" t="n"/>
      <c r="E66" s="572">
        <f>+E65+C66-D66</f>
        <v/>
      </c>
    </row>
    <row r="67">
      <c r="A67" s="110" t="n">
        <v>46112</v>
      </c>
      <c r="B67" s="112" t="inlineStr">
        <is>
          <t>申购鹏雅120</t>
        </is>
      </c>
      <c r="C67" s="112" t="n"/>
      <c r="D67" s="112" t="n">
        <v>2150</v>
      </c>
      <c r="E67" s="572">
        <f>+E66+C67-D67</f>
        <v/>
      </c>
    </row>
    <row r="68">
      <c r="A68" s="110" t="n">
        <v>46115</v>
      </c>
      <c r="B68" s="112" t="inlineStr">
        <is>
          <t>赎回</t>
        </is>
      </c>
      <c r="C68" s="112" t="n"/>
      <c r="D68" s="112" t="n">
        <v>786.136024</v>
      </c>
      <c r="E68" s="572">
        <f>+E67+C68-D68</f>
        <v/>
      </c>
    </row>
    <row r="69">
      <c r="A69" s="110" t="n"/>
      <c r="B69" s="112" t="n"/>
      <c r="C69" s="112" t="n"/>
      <c r="D69" s="112" t="n"/>
      <c r="E69" s="572">
        <f>+E68+C69-D69</f>
        <v/>
      </c>
    </row>
    <row r="70">
      <c r="A70" s="110" t="n">
        <v>46115</v>
      </c>
      <c r="B70" s="112" t="inlineStr">
        <is>
          <t>申购</t>
        </is>
      </c>
      <c r="C70" s="112" t="n">
        <v>130</v>
      </c>
      <c r="D70" s="112" t="n"/>
      <c r="E70" s="572">
        <f>+E69+C70-D70</f>
        <v/>
      </c>
    </row>
    <row r="71">
      <c r="A71" s="110" t="n">
        <v>46115</v>
      </c>
      <c r="B71" s="112" t="inlineStr">
        <is>
          <t>赎回斑羚8号</t>
        </is>
      </c>
      <c r="C71" s="112" t="n">
        <v>110</v>
      </c>
      <c r="D71" s="112" t="n"/>
      <c r="E71" s="572">
        <f>+E70+C71-D71</f>
        <v/>
      </c>
    </row>
    <row r="72">
      <c r="A72" s="110" t="n">
        <v>46119</v>
      </c>
      <c r="B72" s="112" t="inlineStr">
        <is>
          <t>申购鹏雅120</t>
        </is>
      </c>
      <c r="C72" s="112" t="n"/>
      <c r="D72" s="112" t="n">
        <v>750</v>
      </c>
      <c r="E72" s="572">
        <f>+E71+C72-D72</f>
        <v/>
      </c>
      <c r="F72" s="577" t="n"/>
    </row>
    <row r="73">
      <c r="A73" s="110" t="n">
        <v>46120</v>
      </c>
      <c r="B73" s="112" t="inlineStr">
        <is>
          <t>全景1号</t>
        </is>
      </c>
      <c r="C73" s="112" t="n"/>
      <c r="D73" s="112" t="n">
        <v>650</v>
      </c>
      <c r="E73" s="572">
        <f>+E72+C73-D73</f>
        <v/>
      </c>
    </row>
    <row r="74">
      <c r="A74" s="110" t="n">
        <v>46120</v>
      </c>
      <c r="B74" s="112" t="inlineStr">
        <is>
          <t>管理费</t>
        </is>
      </c>
      <c r="C74" s="112" t="n"/>
      <c r="D74" s="112" t="n">
        <v>140.135869</v>
      </c>
      <c r="E74" s="572">
        <f>+E73+C74-D74</f>
        <v/>
      </c>
    </row>
    <row r="75">
      <c r="A75" s="110" t="n">
        <v>46120</v>
      </c>
      <c r="B75" s="112" t="inlineStr">
        <is>
          <t>托管行政费</t>
        </is>
      </c>
      <c r="C75" s="112" t="n"/>
      <c r="D75" s="112">
        <f>1.40136*2</f>
        <v/>
      </c>
      <c r="E75" s="572">
        <f>+E74+C75-D75</f>
        <v/>
      </c>
    </row>
    <row r="76">
      <c r="A76" s="110" t="n"/>
      <c r="B76" s="112" t="n"/>
      <c r="C76" s="112" t="n"/>
      <c r="D76" s="112" t="n"/>
      <c r="E76" s="572">
        <f>+E75+C76-D76</f>
        <v/>
      </c>
    </row>
    <row r="77">
      <c r="A77" s="110" t="n"/>
      <c r="B77" s="112" t="n"/>
      <c r="C77" s="112" t="n"/>
      <c r="D77" s="112" t="n"/>
      <c r="E77" s="572">
        <f>+E76+C77-D77</f>
        <v/>
      </c>
      <c r="F77" s="577" t="n"/>
    </row>
    <row r="78">
      <c r="A78" s="110" t="n"/>
      <c r="B78" s="112" t="n"/>
      <c r="C78" s="112" t="n"/>
      <c r="D78" s="112" t="n"/>
      <c r="E78" s="572">
        <f>+E77+C78-D78</f>
        <v/>
      </c>
    </row>
    <row r="79">
      <c r="A79" s="110" t="n">
        <v>46121</v>
      </c>
      <c r="B79" s="112" t="inlineStr">
        <is>
          <t>追加鹏雅120</t>
        </is>
      </c>
      <c r="C79" s="112" t="n"/>
      <c r="D79" s="112" t="n">
        <v>150</v>
      </c>
      <c r="E79" s="572">
        <f>+E78+C79-D79</f>
        <v/>
      </c>
    </row>
    <row r="80">
      <c r="A80" s="110" t="n">
        <v>46122</v>
      </c>
      <c r="B80" s="112" t="inlineStr">
        <is>
          <t>申购</t>
        </is>
      </c>
      <c r="C80" s="112" t="n">
        <v>139</v>
      </c>
      <c r="D80" s="112" t="n"/>
      <c r="E80" s="572">
        <f>+E79+C80-D80</f>
        <v/>
      </c>
    </row>
    <row r="81">
      <c r="A81" s="110" t="n">
        <v>46122</v>
      </c>
      <c r="B81" s="112" t="inlineStr">
        <is>
          <t>赎回</t>
        </is>
      </c>
      <c r="C81" s="112" t="n"/>
      <c r="D81" s="578" t="n">
        <v>3491.76</v>
      </c>
      <c r="E81" s="572">
        <f>+E80+C81-D81</f>
        <v/>
      </c>
    </row>
    <row r="82">
      <c r="A82" s="110" t="n">
        <v>46122</v>
      </c>
      <c r="B82" s="112" t="inlineStr">
        <is>
          <t>支付业绩报酬</t>
        </is>
      </c>
      <c r="C82" s="112" t="n"/>
      <c r="D82" s="578" t="n">
        <v>14.645</v>
      </c>
      <c r="E82" s="572">
        <f>+E81+C82-D82</f>
        <v/>
      </c>
    </row>
    <row r="83">
      <c r="A83" s="110" t="n"/>
      <c r="B83" s="112" t="n"/>
      <c r="C83" s="112" t="n"/>
      <c r="D83" s="112" t="n"/>
      <c r="E83" s="572">
        <f>+E82+C83-D83</f>
        <v/>
      </c>
    </row>
    <row r="84">
      <c r="A84" s="110" t="n">
        <v>46128</v>
      </c>
      <c r="B84" s="112" t="inlineStr">
        <is>
          <t>申购</t>
        </is>
      </c>
      <c r="C84" s="112" t="n">
        <v>342</v>
      </c>
      <c r="D84" s="112" t="n"/>
      <c r="E84" s="572">
        <f>+E83+C84-D84</f>
        <v/>
      </c>
    </row>
    <row r="85">
      <c r="A85" s="110" t="n">
        <v>46134</v>
      </c>
      <c r="B85" s="112" t="inlineStr">
        <is>
          <t>鹏雅120期</t>
        </is>
      </c>
      <c r="C85" s="112" t="n"/>
      <c r="D85" s="112" t="n">
        <v>210</v>
      </c>
      <c r="E85" s="572">
        <f>+E84+C85-D85</f>
        <v/>
      </c>
      <c r="F85" s="562" t="inlineStr">
        <is>
          <t>已发</t>
        </is>
      </c>
    </row>
    <row r="86">
      <c r="A86" s="110" t="n">
        <v>46135</v>
      </c>
      <c r="B86" s="112" t="inlineStr">
        <is>
          <t>申购</t>
        </is>
      </c>
      <c r="C86" s="112" t="n">
        <v>225</v>
      </c>
      <c r="D86" s="112" t="n"/>
      <c r="E86" s="572">
        <f>+E85+C86-D86</f>
        <v/>
      </c>
    </row>
    <row r="87">
      <c r="A87" s="110" t="n">
        <v>46135</v>
      </c>
      <c r="B87" s="112" t="inlineStr">
        <is>
          <t>信托利益分配</t>
        </is>
      </c>
      <c r="C87" s="112" t="n">
        <v>324</v>
      </c>
      <c r="D87" s="112" t="n"/>
      <c r="E87" s="572">
        <f>+E86+C87-D87</f>
        <v/>
      </c>
    </row>
    <row r="88">
      <c r="A88" s="110" t="n"/>
      <c r="B88" s="112" t="n"/>
      <c r="C88" s="112" t="n"/>
      <c r="D88" s="112" t="n"/>
      <c r="E88" s="572">
        <f>+E87+C88-D88</f>
        <v/>
      </c>
    </row>
    <row r="89">
      <c r="A89" s="110" t="n">
        <v>46140</v>
      </c>
      <c r="B89" s="112" t="inlineStr">
        <is>
          <t>朗瑞1-8赎回</t>
        </is>
      </c>
      <c r="C89" s="112" t="n">
        <v>2300</v>
      </c>
      <c r="D89" s="112" t="n"/>
      <c r="E89" s="572">
        <f>+E88+C89-D89</f>
        <v/>
      </c>
    </row>
    <row r="90">
      <c r="A90" s="110" t="n">
        <v>46140</v>
      </c>
      <c r="B90" s="112" t="inlineStr">
        <is>
          <t>鹏雅120</t>
        </is>
      </c>
      <c r="C90" s="112" t="n"/>
      <c r="D90" s="112" t="n">
        <v>1500</v>
      </c>
      <c r="E90" s="572">
        <f>+E89+C90-D90</f>
        <v/>
      </c>
      <c r="F90" s="562" t="inlineStr">
        <is>
          <t>已发</t>
        </is>
      </c>
    </row>
    <row r="91">
      <c r="A91" s="110" t="n">
        <v>46141</v>
      </c>
      <c r="B91" s="112" t="inlineStr">
        <is>
          <t>申购朗瑞1-8</t>
        </is>
      </c>
      <c r="C91" s="112" t="n"/>
      <c r="D91" s="112" t="n">
        <v>30</v>
      </c>
      <c r="E91" s="572">
        <f>+E90+C91-D91</f>
        <v/>
      </c>
    </row>
    <row r="92">
      <c r="A92" s="110" t="n"/>
      <c r="B92" s="112" t="n"/>
      <c r="C92" s="112" t="n"/>
      <c r="D92" s="112" t="n"/>
      <c r="E92" s="572">
        <f>+E91+C92-D92</f>
        <v/>
      </c>
    </row>
    <row r="93">
      <c r="A93" s="110" t="n">
        <v>46142</v>
      </c>
      <c r="B93" s="112" t="inlineStr">
        <is>
          <t>申购</t>
        </is>
      </c>
      <c r="C93" s="112" t="n">
        <v>100</v>
      </c>
      <c r="D93" s="112" t="n"/>
      <c r="E93" s="572">
        <f>+E92+C93-D93</f>
        <v/>
      </c>
    </row>
    <row r="94">
      <c r="A94" s="110" t="n"/>
      <c r="B94" s="112" t="n"/>
      <c r="C94" s="112" t="n"/>
      <c r="D94" s="112" t="n"/>
      <c r="E94" s="572">
        <f>+E93+C94-D94</f>
        <v/>
      </c>
    </row>
    <row r="95">
      <c r="A95" s="110" t="n">
        <v>46150</v>
      </c>
      <c r="B95" s="112" t="inlineStr">
        <is>
          <t>申购</t>
        </is>
      </c>
      <c r="C95" s="112" t="n">
        <v>190</v>
      </c>
      <c r="D95" s="112" t="n"/>
      <c r="E95" s="572">
        <f>+E94+C95-D95</f>
        <v/>
      </c>
    </row>
    <row r="96">
      <c r="A96" s="110" t="n">
        <v>46150</v>
      </c>
      <c r="B96" s="112" t="inlineStr">
        <is>
          <t>赎回</t>
        </is>
      </c>
      <c r="C96" s="112" t="n"/>
      <c r="D96" s="112" t="n"/>
      <c r="E96" s="572">
        <f>+E95+C96-D96</f>
        <v/>
      </c>
    </row>
    <row r="97">
      <c r="A97" s="112" t="n"/>
      <c r="B97" s="112" t="n"/>
      <c r="C97" s="112" t="n"/>
      <c r="D97" s="112" t="n"/>
      <c r="E97" s="572">
        <f>+E96+C97-D97</f>
        <v/>
      </c>
    </row>
    <row r="98">
      <c r="A98" s="110" t="n">
        <v>46156</v>
      </c>
      <c r="B98" s="112" t="inlineStr">
        <is>
          <t>申购（含东吴）</t>
        </is>
      </c>
      <c r="C98" s="112" t="n">
        <v>5140</v>
      </c>
      <c r="D98" s="112" t="n"/>
      <c r="E98" s="572">
        <f>+E97+C98-D98</f>
        <v/>
      </c>
      <c r="F98" s="122" t="inlineStr">
        <is>
          <t>催估值</t>
        </is>
      </c>
    </row>
    <row r="99">
      <c r="A99" s="110" t="n"/>
      <c r="B99" s="112" t="n"/>
      <c r="C99" s="112" t="n"/>
      <c r="D99" s="112" t="n"/>
      <c r="E99" s="572">
        <f>+E98+C99-D99</f>
        <v/>
      </c>
    </row>
    <row r="100">
      <c r="A100" s="110" t="n">
        <v>46156</v>
      </c>
      <c r="B100" s="112" t="inlineStr">
        <is>
          <t>申购鹏雅120</t>
        </is>
      </c>
      <c r="C100" s="112" t="n"/>
      <c r="D100" s="112" t="n">
        <v>4800</v>
      </c>
      <c r="E100" s="572">
        <f>+E99+C100-D100</f>
        <v/>
      </c>
      <c r="F100" s="562" t="inlineStr">
        <is>
          <t>已发</t>
        </is>
      </c>
    </row>
    <row r="101">
      <c r="A101" s="117" t="n"/>
      <c r="E101" s="563">
        <f>+E100+C101-D101</f>
        <v/>
      </c>
      <c r="H101" s="201" t="inlineStr">
        <is>
          <t>卖出抵押类资产，买入短久期资产</t>
        </is>
      </c>
    </row>
    <row r="102">
      <c r="A102" s="117" t="n"/>
      <c r="E102" s="563">
        <f>+E101+C102-D102</f>
        <v/>
      </c>
      <c r="H102" s="201" t="n"/>
    </row>
    <row r="103">
      <c r="A103" s="117" t="n"/>
      <c r="E103" s="563">
        <f>+E102+C103-D103</f>
        <v/>
      </c>
      <c r="H103" s="201" t="n"/>
    </row>
    <row r="104">
      <c r="A104" s="117" t="n"/>
      <c r="E104" s="563">
        <f>+E103+C104-D104</f>
        <v/>
      </c>
      <c r="H104" s="201" t="n"/>
    </row>
    <row r="105">
      <c r="A105" s="117" t="n">
        <v>46163</v>
      </c>
      <c r="B105" s="0" t="inlineStr">
        <is>
          <t>申购</t>
        </is>
      </c>
      <c r="C105" s="0" t="n">
        <v>20</v>
      </c>
      <c r="E105" s="563">
        <f>+E104+C105-D105</f>
        <v/>
      </c>
    </row>
    <row r="106">
      <c r="A106" s="117" t="n">
        <v>46163</v>
      </c>
      <c r="B106" s="0" t="inlineStr">
        <is>
          <t>赎回</t>
        </is>
      </c>
      <c r="D106" s="0">
        <f>(210-140)*1.1</f>
        <v/>
      </c>
      <c r="E106" s="563">
        <f>+E105+C106-D106</f>
        <v/>
      </c>
      <c r="F106" s="0" t="inlineStr">
        <is>
          <t>140赎回撤销</t>
        </is>
      </c>
    </row>
    <row r="107">
      <c r="E107" s="563">
        <f>+E106+C107-D107</f>
        <v/>
      </c>
    </row>
    <row r="108">
      <c r="B108" s="0" t="inlineStr">
        <is>
          <t>全景1号</t>
        </is>
      </c>
      <c r="D108" s="0" t="n">
        <v>1000</v>
      </c>
      <c r="E108" s="563">
        <f>+E107+C108-D108</f>
        <v/>
      </c>
    </row>
    <row r="109">
      <c r="E109" s="563">
        <f>+E108+C109-D109</f>
        <v/>
      </c>
      <c r="F109" s="0" t="inlineStr">
        <is>
          <t>中金买回</t>
        </is>
      </c>
    </row>
    <row r="110">
      <c r="A110" s="117" t="n">
        <v>46177</v>
      </c>
      <c r="B110" s="0" t="inlineStr">
        <is>
          <t>赎回</t>
        </is>
      </c>
      <c r="D110" s="0">
        <f>90*1.1</f>
        <v/>
      </c>
      <c r="E110" s="563">
        <f>+E109+C110-D110</f>
        <v/>
      </c>
    </row>
    <row r="111">
      <c r="E111" s="563">
        <f>+E110+C111-D111</f>
        <v/>
      </c>
      <c r="F111" s="201" t="n"/>
    </row>
    <row r="112">
      <c r="E112" s="563">
        <f>+E111+C112-D112</f>
        <v/>
      </c>
    </row>
    <row r="113">
      <c r="A113" s="117" t="n">
        <v>46184</v>
      </c>
      <c r="B113" s="0" t="inlineStr">
        <is>
          <t>赎回</t>
        </is>
      </c>
      <c r="D113" s="0">
        <f>29*1.1</f>
        <v/>
      </c>
      <c r="E113" s="563">
        <f>+E112+C113-D113</f>
        <v/>
      </c>
    </row>
    <row r="114">
      <c r="E114" s="563">
        <f>+E113+C114-D114</f>
        <v/>
      </c>
    </row>
    <row r="115">
      <c r="E115" s="563">
        <f>+E114+C115-D115</f>
        <v/>
      </c>
    </row>
    <row r="116">
      <c r="A116" s="117" t="n">
        <v>46191</v>
      </c>
      <c r="B116" s="0" t="inlineStr">
        <is>
          <t>赎回</t>
        </is>
      </c>
      <c r="D116" s="0">
        <f>100*1.1</f>
        <v/>
      </c>
      <c r="E116" s="563">
        <f>+E115+C116-D116</f>
        <v/>
      </c>
    </row>
    <row r="117">
      <c r="E117" s="563">
        <f>+E116+C117-D117</f>
        <v/>
      </c>
    </row>
    <row r="118">
      <c r="E118" s="563">
        <f>+E117+C118-D118</f>
        <v/>
      </c>
    </row>
    <row r="119">
      <c r="E119" s="563">
        <f>+E118+C119-D119</f>
        <v/>
      </c>
    </row>
    <row r="120">
      <c r="E120" s="563">
        <f>+E119+C120-D120</f>
        <v/>
      </c>
    </row>
    <row r="121">
      <c r="E121" s="563">
        <f>+E120+C121-D121</f>
        <v/>
      </c>
    </row>
    <row r="122">
      <c r="A122" s="117" t="n">
        <v>46213</v>
      </c>
      <c r="B122" s="122" t="inlineStr">
        <is>
          <t>管理费&amp;业绩报酬</t>
        </is>
      </c>
      <c r="C122" s="122" t="n"/>
      <c r="D122" s="599" t="n">
        <v>100</v>
      </c>
      <c r="E122" s="563">
        <f>+E121+C122-D122</f>
        <v/>
      </c>
    </row>
    <row r="123">
      <c r="E123" s="563">
        <f>+E122+C123-D123</f>
        <v/>
      </c>
    </row>
    <row r="124">
      <c r="E124" s="563">
        <f>+E123+C124-D124</f>
        <v/>
      </c>
    </row>
    <row r="125">
      <c r="E125" s="563">
        <f>+E124+C125-D125</f>
        <v/>
      </c>
    </row>
    <row r="126">
      <c r="E126" s="563">
        <f>+E125+C126-D126</f>
        <v/>
      </c>
    </row>
    <row r="127">
      <c r="E127" s="563">
        <f>+E126+C127-D127</f>
        <v/>
      </c>
    </row>
  </sheetData>
  <conditionalFormatting sqref="E1:E1048576">
    <cfRule type="cellIs" priority="1" operator="lessThan" dxfId="0">
      <formula>0</formula>
    </cfRule>
  </conditionalFormatting>
  <pageMargins left="0.7" right="0.7" top="0.75" bottom="0.75" header="0.3" footer="0.3"/>
  <pageSetup orientation="portrait" paperSize="9"/>
</worksheet>
</file>

<file path=xl/worksheets/sheet7.xml><?xml version="1.0" encoding="utf-8"?>
<worksheet xmlns="http://schemas.openxmlformats.org/spreadsheetml/2006/main">
  <sheetPr codeName="Sheet7">
    <outlinePr summaryBelow="1" summaryRight="1"/>
    <pageSetUpPr/>
  </sheetPr>
  <dimension ref="A1:R165"/>
  <sheetViews>
    <sheetView zoomScaleNormal="100" workbookViewId="0">
      <pane ySplit="2" topLeftCell="A133" activePane="bottomLeft" state="frozen"/>
      <selection pane="bottomLeft" activeCell="C163" sqref="C163"/>
    </sheetView>
  </sheetViews>
  <sheetFormatPr baseColWidth="8" defaultRowHeight="16.5"/>
  <cols>
    <col width="10.5" customWidth="1" style="4" min="1" max="1"/>
    <col width="26.5" customWidth="1" style="326" min="2" max="2"/>
    <col width="10.625" customWidth="1" style="326" min="3" max="3"/>
    <col width="11.75" customWidth="1" style="326" min="4" max="4"/>
    <col width="13.875" customWidth="1" style="563" min="5" max="5"/>
    <col width="15" bestFit="1" customWidth="1" style="326" min="6" max="6"/>
    <col width="11.125" bestFit="1" customWidth="1" style="326" min="7" max="7"/>
    <col width="12.875" bestFit="1" customWidth="1" style="326" min="8" max="8"/>
    <col width="11.25" customWidth="1" style="564" min="9" max="9"/>
    <col width="17.375" bestFit="1" customWidth="1" style="565" min="10" max="10"/>
    <col width="13.375" customWidth="1" style="565" min="11" max="11"/>
    <col width="11.25" customWidth="1" style="564" min="12" max="12"/>
    <col width="11.5" bestFit="1" customWidth="1" style="326" min="13" max="13"/>
    <col width="12.125" customWidth="1" style="326" min="16" max="16"/>
  </cols>
  <sheetData>
    <row r="1" ht="14.1" customHeight="1" s="326">
      <c r="A1" s="10" t="n"/>
      <c r="B1" s="10" t="n"/>
      <c r="C1" s="10" t="n"/>
      <c r="D1" s="10" t="n"/>
      <c r="E1" s="10" t="n"/>
      <c r="G1" s="452" t="inlineStr">
        <is>
          <t>每周五开放</t>
        </is>
      </c>
    </row>
    <row r="2">
      <c r="A2" s="4" t="inlineStr">
        <is>
          <t>日期</t>
        </is>
      </c>
      <c r="B2" s="0" t="inlineStr">
        <is>
          <t>现金流类型</t>
        </is>
      </c>
      <c r="C2" s="0" t="inlineStr">
        <is>
          <t>现金流入</t>
        </is>
      </c>
      <c r="D2" s="0" t="inlineStr">
        <is>
          <t>现金流出</t>
        </is>
      </c>
      <c r="E2" s="563" t="inlineStr">
        <is>
          <t>期末余额</t>
        </is>
      </c>
    </row>
    <row r="3">
      <c r="E3" s="563" t="n">
        <v>289</v>
      </c>
    </row>
    <row r="4">
      <c r="A4" s="110" t="n">
        <v>46028</v>
      </c>
      <c r="B4" s="0" t="inlineStr">
        <is>
          <t>底层回款</t>
        </is>
      </c>
      <c r="C4" s="0" t="n">
        <v>6.8</v>
      </c>
      <c r="E4" s="572">
        <f>E3+C4-D4</f>
        <v/>
      </c>
    </row>
    <row r="5">
      <c r="A5" s="110" t="n">
        <v>46029</v>
      </c>
      <c r="B5" s="111" t="inlineStr">
        <is>
          <t>荟煜035D</t>
        </is>
      </c>
      <c r="C5" s="112" t="n">
        <v>5324</v>
      </c>
      <c r="D5" s="112" t="n"/>
      <c r="E5" s="572">
        <f>E4+C5-D5</f>
        <v/>
      </c>
      <c r="F5" s="114" t="n">
        <v>53245589.04</v>
      </c>
    </row>
    <row r="6">
      <c r="A6" s="110" t="n">
        <v>46029</v>
      </c>
      <c r="B6" s="115" t="inlineStr">
        <is>
          <t>25君惠融ABN001优先B</t>
        </is>
      </c>
      <c r="C6" s="112" t="n"/>
      <c r="D6" s="578">
        <f>1000*(100.48+0.120247)/100</f>
        <v/>
      </c>
      <c r="E6" s="572">
        <f>E5+C6-D6</f>
        <v/>
      </c>
      <c r="F6" s="0" t="inlineStr">
        <is>
          <t>已发要素</t>
        </is>
      </c>
    </row>
    <row r="7">
      <c r="A7" s="0" t="n"/>
      <c r="E7" s="572">
        <f>E6+C7-D7</f>
        <v/>
      </c>
    </row>
    <row r="8">
      <c r="A8" s="110" t="n">
        <v>46030</v>
      </c>
      <c r="B8" s="112" t="inlineStr">
        <is>
          <t>25熠顺ABN001优先A3</t>
        </is>
      </c>
      <c r="C8" s="112" t="n"/>
      <c r="D8" s="112" t="n">
        <v>1006</v>
      </c>
      <c r="E8" s="572">
        <f>E7+C8-D8</f>
        <v/>
      </c>
      <c r="F8" s="0" t="inlineStr">
        <is>
          <t>1、25熠顺ABN001优先A3[082580640.IB] ，1000w，100净价，应计利息0.26301，1月8日，云南信托云乾10号 云南信托 陈文利3004414705 to 天风证券 唐德婷qt 2885078648
2、25熠顺ABN001优先A3[082580640.IB] ，1000w，100净价，应计利息0.26301，1月8日，天风证券 唐德婷qt 2885078648 to 外贸信托-元康盛景1号 赵婷婷</t>
        </is>
      </c>
    </row>
    <row r="9">
      <c r="A9" s="110" t="n">
        <v>46030</v>
      </c>
      <c r="B9" s="112" t="inlineStr">
        <is>
          <t>25和赢蔚能ABN001BC优先A2(科创)</t>
        </is>
      </c>
      <c r="C9" s="112" t="n"/>
      <c r="D9" s="578">
        <f>2500*(1+0.0030137)</f>
        <v/>
      </c>
      <c r="E9" s="572">
        <f>E8+C9-D9</f>
        <v/>
      </c>
      <c r="F9" s="0" t="inlineStr">
        <is>
          <t>3、25和赢蔚能ABN001BC优先A2(科创)[082580537.IB]，2500w，100净价，应计利息0.30137，1月8日，云南信托云乾10号 云南信托 陈文利3004414705  to 天风证券 唐德婷qt 2885078648
4、25和赢蔚能ABN001BC优先A2(科创)[082580537.IB]，2500w，100.01净价，应计利息0.30137，1月8日，天风证券 唐德婷qt 2885078648 to 外贸信托-元康盛景1号 赵婷婷</t>
        </is>
      </c>
    </row>
    <row r="10">
      <c r="A10" s="110" t="n"/>
      <c r="B10" s="162" t="n"/>
      <c r="C10" s="112" t="n"/>
      <c r="D10" s="112" t="n"/>
      <c r="E10" s="572" t="n">
        <v>1104</v>
      </c>
    </row>
    <row r="11">
      <c r="A11" s="110" t="n">
        <v>46036</v>
      </c>
      <c r="B11" s="115" t="inlineStr">
        <is>
          <t>25光大环保ABN001次</t>
        </is>
      </c>
      <c r="C11" s="112" t="n"/>
      <c r="D11" s="112" t="n">
        <v>95.53</v>
      </c>
      <c r="E11" s="572" t="n">
        <v>1005</v>
      </c>
      <c r="F11" s="0" t="inlineStr">
        <is>
          <t>25光大环保ABN001次(碳中和债)[082581155.IB] ,95w,100.5562,1月14日，t+0，国泰海通 xx to 外贸元康盛景1号 赵婷婷</t>
        </is>
      </c>
    </row>
    <row r="12">
      <c r="A12" s="110" t="n">
        <v>46037</v>
      </c>
      <c r="B12" s="115" t="inlineStr">
        <is>
          <t>回款</t>
        </is>
      </c>
      <c r="C12" s="112" t="n">
        <v>3.4</v>
      </c>
      <c r="D12" s="112" t="n"/>
      <c r="E12" s="572">
        <f>E11+C12-D12</f>
        <v/>
      </c>
    </row>
    <row r="13">
      <c r="A13" s="110" t="n">
        <v>46038</v>
      </c>
      <c r="B13" s="115" t="inlineStr">
        <is>
          <t>回款</t>
        </is>
      </c>
      <c r="C13" s="112" t="n">
        <v>3.5</v>
      </c>
      <c r="D13" s="112" t="n"/>
      <c r="E13" s="572">
        <f>E12+C13-D13</f>
        <v/>
      </c>
    </row>
    <row r="14">
      <c r="A14" s="110" t="n">
        <v>46038</v>
      </c>
      <c r="B14" s="115" t="inlineStr">
        <is>
          <t>元康盛景1号申购</t>
        </is>
      </c>
      <c r="C14" s="112" t="n">
        <v>400</v>
      </c>
      <c r="D14" s="112" t="n"/>
      <c r="E14" s="572">
        <f>E13+C14-D14</f>
        <v/>
      </c>
      <c r="F14" s="112" t="n"/>
    </row>
    <row r="15">
      <c r="A15" s="110" t="n">
        <v>46038</v>
      </c>
      <c r="B15" s="115" t="inlineStr">
        <is>
          <t>元康9申购</t>
        </is>
      </c>
      <c r="C15" s="112" t="n">
        <v>150</v>
      </c>
      <c r="D15" s="112" t="n"/>
      <c r="E15" s="572">
        <f>E14+C15-D15</f>
        <v/>
      </c>
      <c r="F15" s="112" t="n"/>
    </row>
    <row r="16">
      <c r="A16" s="110" t="n"/>
      <c r="B16" s="115" t="n"/>
      <c r="C16" s="112" t="n"/>
      <c r="D16" s="112" t="n"/>
      <c r="E16" s="572">
        <f>E15+C16-D16</f>
        <v/>
      </c>
      <c r="F16" s="112" t="n"/>
    </row>
    <row r="17">
      <c r="A17" s="110" t="n">
        <v>46041</v>
      </c>
      <c r="B17" s="115" t="inlineStr">
        <is>
          <t>锦新26-1次级</t>
        </is>
      </c>
      <c r="C17" s="112" t="n"/>
      <c r="D17" s="112" t="n">
        <v>800</v>
      </c>
      <c r="E17" s="572">
        <f>E16+C17-D17</f>
        <v/>
      </c>
      <c r="F17" s="115" t="inlineStr">
        <is>
          <t>自持；26锦新小微ABN001次，082680037，800w，5.7%，1-19日缴款，1-20起息，外贸信托-元康盛景1号一级缴款。</t>
        </is>
      </c>
    </row>
    <row r="18">
      <c r="A18" s="117" t="n"/>
      <c r="E18" s="572">
        <f>E17+C18-D18</f>
        <v/>
      </c>
    </row>
    <row r="19">
      <c r="A19" s="110" t="n">
        <v>46041</v>
      </c>
      <c r="B19" s="115" t="inlineStr">
        <is>
          <t>回购归还</t>
        </is>
      </c>
      <c r="C19" s="112" t="n"/>
      <c r="D19" s="112" t="n">
        <v>360</v>
      </c>
      <c r="E19" s="572">
        <f>E18+C19-D19</f>
        <v/>
      </c>
      <c r="F19" s="0" t="inlineStr">
        <is>
          <t>金城</t>
        </is>
      </c>
    </row>
    <row r="20" customFormat="1" s="172">
      <c r="A20" s="110" t="n">
        <v>46041</v>
      </c>
      <c r="B20" s="115" t="inlineStr">
        <is>
          <t>回款</t>
        </is>
      </c>
      <c r="C20" s="112" t="n">
        <v>155</v>
      </c>
      <c r="D20" s="112" t="n"/>
      <c r="E20" s="572">
        <f>E19+C20-D20</f>
        <v/>
      </c>
      <c r="G20" s="172" t="inlineStr">
        <is>
          <t>待定蔚能持有型不动产</t>
        </is>
      </c>
      <c r="I20" s="600" t="n"/>
      <c r="J20" s="601" t="n"/>
      <c r="K20" s="601" t="n"/>
      <c r="L20" s="600" t="n"/>
    </row>
    <row r="21">
      <c r="A21" s="110" t="n">
        <v>46042</v>
      </c>
      <c r="B21" s="115" t="inlineStr">
        <is>
          <t>元康盛景17号赎回</t>
        </is>
      </c>
      <c r="C21" s="112" t="n"/>
      <c r="D21" s="112" t="n">
        <v>350</v>
      </c>
      <c r="E21" s="572">
        <f>E20+C21-D21</f>
        <v/>
      </c>
      <c r="F21" s="0" t="inlineStr">
        <is>
          <t>1-16发起</t>
        </is>
      </c>
    </row>
    <row r="22">
      <c r="A22" s="110" t="n">
        <v>46042</v>
      </c>
      <c r="B22" s="115" t="inlineStr">
        <is>
          <t>底层回款</t>
        </is>
      </c>
      <c r="C22" s="112" t="n">
        <v>24.7</v>
      </c>
      <c r="D22" s="112" t="n"/>
      <c r="E22" s="572">
        <f>E21+C22-D22</f>
        <v/>
      </c>
    </row>
    <row r="23">
      <c r="A23" s="110" t="n">
        <v>46044</v>
      </c>
      <c r="B23" s="115" t="inlineStr">
        <is>
          <t>底层回款</t>
        </is>
      </c>
      <c r="C23" s="112" t="n">
        <v>122</v>
      </c>
      <c r="D23" s="112" t="n"/>
      <c r="E23" s="572">
        <f>E22+C23-D23</f>
        <v/>
      </c>
    </row>
    <row r="24">
      <c r="A24" s="110" t="n">
        <v>46044</v>
      </c>
      <c r="B24" s="112">
        <f>B6</f>
        <v/>
      </c>
      <c r="C24" s="576">
        <f>D6</f>
        <v/>
      </c>
      <c r="D24" s="112" t="n"/>
      <c r="E24" s="572">
        <f>E23+C24-D24</f>
        <v/>
      </c>
      <c r="F24" s="217" t="inlineStr">
        <is>
          <t>1月22日，082580061.IB，25君惠融ABN001优先B，1000W，100.48净价，应计利息0.28422；外贸信托：赵婷婷qt2850551246 to 招商证券：3007229341 赵漂琳</t>
        </is>
      </c>
    </row>
    <row r="25">
      <c r="A25" s="110" t="n">
        <v>46044</v>
      </c>
      <c r="B25" s="115" t="inlineStr">
        <is>
          <t>温兴</t>
        </is>
      </c>
      <c r="C25" s="112" t="n"/>
      <c r="D25" s="112">
        <f>1000*1.003</f>
        <v/>
      </c>
      <c r="E25" s="572">
        <f>E24+C25-D25</f>
        <v/>
      </c>
      <c r="F25" s="217" t="inlineStr">
        <is>
          <t>25温兴1次级[2589143.IB] ，1月22日，1000w，100.3，t+0，国泰海通 冉雅婷 to 外贸信托元康盛景1号 赵婷婷</t>
        </is>
      </c>
      <c r="G25" s="217" t="n"/>
    </row>
    <row r="26">
      <c r="A26" s="0" t="n"/>
      <c r="E26" s="572">
        <f>E25+C26-D26</f>
        <v/>
      </c>
    </row>
    <row r="27">
      <c r="A27" s="110" t="n">
        <v>46045</v>
      </c>
      <c r="B27" s="112" t="inlineStr">
        <is>
          <t>元康盛景1号申购</t>
        </is>
      </c>
      <c r="C27" s="112" t="n">
        <v>900</v>
      </c>
      <c r="D27" s="112" t="n"/>
      <c r="E27" s="572">
        <f>E26+C27-D27</f>
        <v/>
      </c>
    </row>
    <row r="28">
      <c r="A28" s="117" t="n"/>
      <c r="E28" s="572" t="n">
        <v>1263</v>
      </c>
    </row>
    <row r="29">
      <c r="A29" s="110" t="n">
        <v>46048</v>
      </c>
      <c r="B29" s="222" t="inlineStr">
        <is>
          <t>美歆8期</t>
        </is>
      </c>
      <c r="C29" s="112" t="n"/>
      <c r="D29" s="112" t="n">
        <v>1000</v>
      </c>
      <c r="E29" s="572">
        <f>E28+C29-D29</f>
        <v/>
      </c>
      <c r="F29" s="0" t="inlineStr">
        <is>
          <t>美歆8C（267647），1000w，4.8%，1月26日缴款，1月27日起息，外贸信托元康盛景1号缴款</t>
        </is>
      </c>
    </row>
    <row r="30">
      <c r="A30" s="110" t="n">
        <v>46048</v>
      </c>
      <c r="B30" s="112" t="inlineStr">
        <is>
          <t>回款</t>
        </is>
      </c>
      <c r="C30" s="112" t="n">
        <v>113</v>
      </c>
      <c r="D30" s="112" t="n"/>
      <c r="E30" s="572">
        <f>E29+C30-D30</f>
        <v/>
      </c>
    </row>
    <row r="31">
      <c r="A31" s="156" t="n"/>
      <c r="B31" s="112" t="n"/>
      <c r="C31" s="112" t="n"/>
      <c r="D31" s="112" t="n"/>
      <c r="E31" s="572" t="n">
        <v>380</v>
      </c>
    </row>
    <row r="32">
      <c r="A32" s="156" t="n"/>
      <c r="B32" s="112" t="n"/>
      <c r="C32" s="112" t="n"/>
      <c r="D32" s="112" t="n"/>
      <c r="E32" s="572" t="n">
        <v>386</v>
      </c>
    </row>
    <row r="33">
      <c r="A33" s="156" t="n">
        <v>46062</v>
      </c>
      <c r="B33" s="112" t="inlineStr">
        <is>
          <t>尚亦017D回款</t>
        </is>
      </c>
      <c r="C33" s="112" t="n">
        <v>1551</v>
      </c>
      <c r="D33" s="112" t="n"/>
      <c r="E33" s="572" t="n">
        <v>1936</v>
      </c>
    </row>
    <row r="34">
      <c r="A34" s="156" t="n">
        <v>46063</v>
      </c>
      <c r="B34" s="112" t="inlineStr">
        <is>
          <t>阳光金科赎回兑付</t>
        </is>
      </c>
      <c r="C34" s="112" t="n"/>
      <c r="D34" s="112" t="n">
        <v>110.5</v>
      </c>
      <c r="E34" s="572">
        <f>E33+C34-D34</f>
        <v/>
      </c>
    </row>
    <row r="35">
      <c r="A35" s="156" t="n">
        <v>46063</v>
      </c>
      <c r="B35" s="112" t="inlineStr">
        <is>
          <t>24京能3号ABN001次</t>
        </is>
      </c>
      <c r="C35" s="112" t="n"/>
      <c r="D35" s="112" t="n">
        <v>1101</v>
      </c>
      <c r="E35" s="572">
        <f>E34+C35-D35</f>
        <v/>
      </c>
      <c r="F35" s="0" t="inlineStr">
        <is>
          <t>24京能3号ABN001次 (082482325.IB)，1100w，100.12元/百元面值，2月10日，24京能3号ABN001次 (082482325.IB)，100w，100元/百元面值，12月30日，五矿信托和玉系列-元康盛景系列【2】号集合资金信托计划 to 国泰海通 冉雅婷</t>
        </is>
      </c>
    </row>
    <row r="36">
      <c r="A36" s="156" t="n">
        <v>46063</v>
      </c>
      <c r="B36" s="112" t="inlineStr">
        <is>
          <t>25东裕7叔裕ABN001次</t>
        </is>
      </c>
      <c r="C36" s="112" t="n"/>
      <c r="D36" s="112">
        <f>410*1.033333</f>
        <v/>
      </c>
      <c r="E36" s="572">
        <f>E35+C36-D36</f>
        <v/>
      </c>
      <c r="F36" s="0" t="inlineStr">
        <is>
          <t>1、25东裕7叔裕ABN001次,082501056.IB,410w,103.3333, 2-10，t+0，国泰海通 夏雪 QT号：3007305611to 外贸信托元康盛景1号 赵婷婷</t>
        </is>
      </c>
    </row>
    <row r="37">
      <c r="A37" s="156" t="n">
        <v>46064</v>
      </c>
      <c r="B37" s="112" t="inlineStr">
        <is>
          <t>信保基金</t>
        </is>
      </c>
      <c r="C37" s="112" t="n">
        <v>18</v>
      </c>
      <c r="D37" s="112" t="n"/>
      <c r="E37" s="572">
        <f>E36+C37-D37</f>
        <v/>
      </c>
    </row>
    <row r="38">
      <c r="A38" s="156" t="n">
        <v>46065</v>
      </c>
      <c r="B38" s="112" t="inlineStr">
        <is>
          <t>5美意3次</t>
        </is>
      </c>
      <c r="C38" s="112" t="n"/>
      <c r="D38" s="112">
        <f>120*1.07274</f>
        <v/>
      </c>
      <c r="E38" s="572">
        <f>E37+C38-D38</f>
        <v/>
      </c>
      <c r="F38" s="0" t="inlineStr">
        <is>
          <t>5美意3次[263710.SH] ,120w，全价107.274，2026-2-12，国泰海通 樊文娟 to 外贸信托元康盛景1号 吕韩晶 2853866770</t>
        </is>
      </c>
    </row>
    <row r="39">
      <c r="A39" s="156" t="n">
        <v>46067</v>
      </c>
      <c r="B39" s="112" t="inlineStr">
        <is>
          <t>回款</t>
        </is>
      </c>
      <c r="C39" s="112" t="n">
        <v>3.18</v>
      </c>
      <c r="D39" s="112" t="n"/>
      <c r="E39" s="572">
        <f>E38+C39-D39</f>
        <v/>
      </c>
    </row>
    <row r="40">
      <c r="A40" s="156" t="n">
        <v>46077</v>
      </c>
      <c r="B40" s="112" t="inlineStr">
        <is>
          <t>回款</t>
        </is>
      </c>
      <c r="C40" s="112" t="n">
        <v>112</v>
      </c>
      <c r="D40" s="112" t="n"/>
      <c r="E40" s="572">
        <f>E39+C40-D40</f>
        <v/>
      </c>
    </row>
    <row r="41">
      <c r="A41" s="156" t="n">
        <v>46078</v>
      </c>
      <c r="B41" s="112" t="inlineStr">
        <is>
          <t>回款</t>
        </is>
      </c>
      <c r="C41" s="112" t="n">
        <v>26</v>
      </c>
      <c r="D41" s="112" t="n"/>
      <c r="E41" s="572">
        <f>E40+C41-D41</f>
        <v/>
      </c>
      <c r="K41" s="464" t="n"/>
    </row>
    <row r="42">
      <c r="A42" s="156" t="n">
        <v>46079</v>
      </c>
      <c r="B42" s="112" t="inlineStr">
        <is>
          <t>回款</t>
        </is>
      </c>
      <c r="C42" s="112" t="n">
        <v>358</v>
      </c>
      <c r="D42" s="112" t="n"/>
      <c r="E42" s="572">
        <f>E41+C42-D42</f>
        <v/>
      </c>
      <c r="K42" s="464" t="n"/>
    </row>
    <row r="43">
      <c r="A43" s="156" t="n">
        <v>46080</v>
      </c>
      <c r="B43" s="112" t="inlineStr">
        <is>
          <t>回款</t>
        </is>
      </c>
      <c r="C43" s="112" t="n">
        <v>20</v>
      </c>
      <c r="D43" s="112" t="n"/>
      <c r="E43" s="572">
        <f>E42+C43-D43</f>
        <v/>
      </c>
      <c r="K43" s="464" t="n"/>
    </row>
    <row r="44">
      <c r="A44" s="156" t="n"/>
      <c r="B44" s="112" t="n"/>
      <c r="C44" s="112" t="n"/>
      <c r="D44" s="112" t="n"/>
      <c r="E44" s="572">
        <f>E43+C44-D44</f>
        <v/>
      </c>
      <c r="J44" s="565" t="inlineStr">
        <is>
          <t>25东裕7叔裕ABN001次</t>
        </is>
      </c>
      <c r="K44" s="464">
        <f>XIRR(K45:K46,J45:J46)</f>
        <v/>
      </c>
    </row>
    <row r="45">
      <c r="A45" s="156" t="n">
        <v>46080</v>
      </c>
      <c r="B45" s="112" t="inlineStr">
        <is>
          <t>元康盛景30号</t>
        </is>
      </c>
      <c r="C45" s="112" t="n">
        <v>400</v>
      </c>
      <c r="D45" s="112" t="n"/>
      <c r="E45" s="572">
        <f>E44+C45-D45</f>
        <v/>
      </c>
      <c r="J45" s="266" t="n">
        <v>45807</v>
      </c>
      <c r="K45" s="586" t="n">
        <v>-100</v>
      </c>
    </row>
    <row r="46">
      <c r="A46" s="156" t="n">
        <v>46084</v>
      </c>
      <c r="B46" s="112" t="inlineStr">
        <is>
          <t>元康盛景9号赎回</t>
        </is>
      </c>
      <c r="C46" s="602" t="n"/>
      <c r="D46" s="603" t="n">
        <v>750</v>
      </c>
      <c r="E46" s="572">
        <f>E45+C46-D46</f>
        <v/>
      </c>
      <c r="F46" s="0" t="inlineStr">
        <is>
          <t>2/27赎回</t>
        </is>
      </c>
      <c r="J46" s="266" t="n">
        <v>46063</v>
      </c>
      <c r="K46" s="586" t="n">
        <v>103.3333</v>
      </c>
      <c r="L46" s="586">
        <f>-K45*(1+4.9%*(J46-J45)/365)</f>
        <v/>
      </c>
    </row>
    <row r="47">
      <c r="A47" s="156" t="n">
        <v>46084</v>
      </c>
      <c r="B47" s="112" t="inlineStr">
        <is>
          <t>阳光金科赎回兑付</t>
        </is>
      </c>
      <c r="C47" s="112" t="n"/>
      <c r="D47" s="112" t="n">
        <v>26</v>
      </c>
      <c r="E47" s="572">
        <f>E46+C47-D47</f>
        <v/>
      </c>
    </row>
    <row r="48">
      <c r="A48" s="156" t="n">
        <v>46084</v>
      </c>
      <c r="B48" s="112" t="inlineStr">
        <is>
          <t>元康17号赎回</t>
        </is>
      </c>
      <c r="C48" s="112" t="n"/>
      <c r="D48" s="112" t="n">
        <v>200</v>
      </c>
      <c r="E48" s="572">
        <f>E47+C48-D48</f>
        <v/>
      </c>
      <c r="F48" s="0" t="inlineStr">
        <is>
          <t>2/27赎回</t>
        </is>
      </c>
      <c r="J48" s="565" t="inlineStr">
        <is>
          <t>24京能3号ABN001次</t>
        </is>
      </c>
      <c r="K48" s="464">
        <f>XIRR(K49:K54,J49:J54)</f>
        <v/>
      </c>
    </row>
    <row r="49">
      <c r="A49" s="156" t="n">
        <v>46087</v>
      </c>
      <c r="B49" s="112" t="inlineStr">
        <is>
          <t>5美意3次</t>
        </is>
      </c>
      <c r="C49" s="112">
        <f>120*1.07625</f>
        <v/>
      </c>
      <c r="D49" s="112" t="n"/>
      <c r="E49" s="572">
        <f>E48+C49-D49</f>
        <v/>
      </c>
      <c r="F49" s="119" t="inlineStr">
        <is>
          <t xml:space="preserve">3/6,  5美意3次[263710.SH] ，120w，107.625，外贸元康盛景1号赵婷婷 to 粤开证券 许逸潇2881647849 </t>
        </is>
      </c>
      <c r="J49" s="266" t="n">
        <v>45653</v>
      </c>
      <c r="K49" s="586" t="n">
        <v>-100</v>
      </c>
    </row>
    <row r="50">
      <c r="A50" s="156" t="n"/>
      <c r="B50" s="112" t="n"/>
      <c r="C50" s="112" t="n"/>
      <c r="D50" s="112" t="n"/>
      <c r="E50" s="572">
        <f>E49+C50-D50</f>
        <v/>
      </c>
      <c r="J50" s="266" t="n">
        <v>45737</v>
      </c>
      <c r="K50" s="586" t="n">
        <v>1.9562</v>
      </c>
      <c r="L50" s="604">
        <f>-K50/$K$49*365/(J50-J49)</f>
        <v/>
      </c>
    </row>
    <row r="51">
      <c r="A51" s="156" t="n">
        <v>46090</v>
      </c>
      <c r="B51" s="112" t="inlineStr">
        <is>
          <t>回款</t>
        </is>
      </c>
      <c r="C51" s="112" t="n">
        <v>7</v>
      </c>
      <c r="D51" s="112" t="n"/>
      <c r="E51" s="572">
        <f>E50+C51-D51</f>
        <v/>
      </c>
      <c r="J51" s="266" t="n">
        <v>45821</v>
      </c>
      <c r="K51" s="586" t="n">
        <v>1.9562</v>
      </c>
      <c r="L51" s="604">
        <f>-K51/$K$49*365/(J51-J50)</f>
        <v/>
      </c>
    </row>
    <row r="52">
      <c r="A52" s="156" t="n"/>
      <c r="B52" s="112" t="n"/>
      <c r="C52" s="112" t="n"/>
      <c r="D52" s="112" t="n"/>
      <c r="E52" s="572">
        <f>E51+C52-D52</f>
        <v/>
      </c>
      <c r="J52" s="266" t="n">
        <v>45896</v>
      </c>
      <c r="K52" s="586" t="n">
        <v>1.7466</v>
      </c>
      <c r="L52" s="604">
        <f>-K52/$K$49*365/(J52-J51)</f>
        <v/>
      </c>
    </row>
    <row r="53">
      <c r="A53" s="156" t="n"/>
      <c r="B53" s="112" t="n"/>
      <c r="C53" s="112" t="n"/>
      <c r="D53" s="112" t="n"/>
      <c r="E53" s="572">
        <f>E52+C53-D53</f>
        <v/>
      </c>
      <c r="J53" s="266" t="n">
        <v>45996</v>
      </c>
      <c r="K53" s="586" t="n">
        <v>2.3288</v>
      </c>
      <c r="L53" s="604">
        <f>-K53/$K$49*365/(J53-J52)</f>
        <v/>
      </c>
    </row>
    <row r="54">
      <c r="A54" s="156" t="n"/>
      <c r="B54" s="112" t="n"/>
      <c r="C54" s="112" t="n"/>
      <c r="D54" s="112" t="n"/>
      <c r="E54" s="572">
        <f>E53+C54-D54</f>
        <v/>
      </c>
      <c r="J54" s="266" t="n">
        <v>46063</v>
      </c>
      <c r="K54" s="586" t="n">
        <v>100.12</v>
      </c>
      <c r="L54" s="564">
        <f>-K49*(1+8.5%*(J54-J49)/365)-SUM(K50:K53)</f>
        <v/>
      </c>
    </row>
    <row r="55">
      <c r="A55" s="156" t="n"/>
      <c r="B55" s="112" t="n"/>
      <c r="C55" s="112" t="n"/>
      <c r="D55" s="112" t="n"/>
      <c r="E55" s="572">
        <f>E54+C55-D55</f>
        <v/>
      </c>
      <c r="J55" s="266" t="n"/>
      <c r="K55" s="586" t="n"/>
    </row>
    <row r="56">
      <c r="A56" s="156" t="n"/>
      <c r="B56" s="112" t="n"/>
      <c r="C56" s="112" t="n"/>
      <c r="D56" s="112" t="n"/>
      <c r="E56" s="572">
        <f>E55+C56-D56</f>
        <v/>
      </c>
      <c r="J56" s="266" t="n"/>
      <c r="K56" s="586" t="n"/>
    </row>
    <row r="57">
      <c r="A57" s="156" t="n">
        <v>46091</v>
      </c>
      <c r="B57" s="112" t="inlineStr">
        <is>
          <t>阳光金科赎回兑付</t>
        </is>
      </c>
      <c r="C57" s="112" t="n"/>
      <c r="D57" s="112">
        <f>511098/10000</f>
        <v/>
      </c>
      <c r="E57" s="572">
        <f>E56+C57-D57</f>
        <v/>
      </c>
    </row>
    <row r="58">
      <c r="A58" s="156" t="n">
        <v>46094</v>
      </c>
      <c r="B58" s="112" t="inlineStr">
        <is>
          <t>慧聚领航1号配置</t>
        </is>
      </c>
      <c r="C58" s="576">
        <f>慧聚领航1号!D9</f>
        <v/>
      </c>
      <c r="D58" s="112" t="n"/>
      <c r="E58" s="572">
        <f>E57+C58-D58</f>
        <v/>
      </c>
    </row>
    <row r="59">
      <c r="A59" s="156" t="n">
        <v>46097</v>
      </c>
      <c r="B59" s="112" t="inlineStr">
        <is>
          <t>兑付回款</t>
        </is>
      </c>
      <c r="C59" s="112" t="n">
        <v>5.5</v>
      </c>
      <c r="D59" s="112" t="n"/>
      <c r="E59" s="572">
        <f>E58+C59-D59</f>
        <v/>
      </c>
    </row>
    <row r="60">
      <c r="A60" s="156" t="n">
        <v>46098</v>
      </c>
      <c r="B60" s="112" t="inlineStr">
        <is>
          <t>25和赢蔚能ABN001BC优先A2(科创)</t>
        </is>
      </c>
      <c r="C60" s="112">
        <f>4000*(1.0029+0.0027397)</f>
        <v/>
      </c>
      <c r="D60" s="112" t="n"/>
      <c r="E60" s="572">
        <f>E59+C60-D60</f>
        <v/>
      </c>
      <c r="F60" s="0" t="inlineStr">
        <is>
          <t>3/17, 25和赢蔚能ABN001BC优先A2(科创)[082580537.IB] ，4000w，净价100.29，应计利息
0.27397，外贸信托元康盛景1号 赵婷婷  to 天风证券 唐德婷2885078648</t>
        </is>
      </c>
    </row>
    <row r="61">
      <c r="A61" s="156" t="n">
        <v>46098</v>
      </c>
      <c r="B61" s="112" t="inlineStr">
        <is>
          <t>元康9赎回</t>
        </is>
      </c>
      <c r="C61" s="112" t="n"/>
      <c r="D61" s="112" t="n">
        <v>1600</v>
      </c>
      <c r="E61" s="572">
        <f>E60+C61-D61</f>
        <v/>
      </c>
      <c r="F61" s="0" t="inlineStr">
        <is>
          <t>3/17, 25和赢蔚能ABN001BC优先A2(科创)[082580537.IB] ，2500w，净价100.30，应计利息
0.27397， 天风证券 唐德婷2885078648 to 粤财信托 杭雅1号 吴海滨 2880690705+华宝投顾 马路遥3007680164</t>
        </is>
      </c>
    </row>
    <row r="62">
      <c r="A62" s="156" t="n">
        <v>46098</v>
      </c>
      <c r="B62" s="112" t="inlineStr">
        <is>
          <t>元康17赎回</t>
        </is>
      </c>
      <c r="C62" s="112" t="n"/>
      <c r="D62" s="112" t="n">
        <v>2701</v>
      </c>
      <c r="E62" s="572">
        <f>E61+C62-D62</f>
        <v/>
      </c>
      <c r="F62" s="0" t="inlineStr">
        <is>
          <t>3/17, 25和赢蔚能ABN001BC优先A2(科创)[082580537.IB] ，1500w，净价100.30，应计利息
0.27397，天风证券 唐德婷2885078648 to 云南信托 云乾10号 陈文利3004414705</t>
        </is>
      </c>
    </row>
    <row r="63">
      <c r="A63" s="156" t="n">
        <v>46098</v>
      </c>
      <c r="B63" s="112" t="inlineStr">
        <is>
          <t>阳光金科赎回兑付</t>
        </is>
      </c>
      <c r="C63" s="112" t="n"/>
      <c r="D63" s="112" t="n">
        <v>26.79</v>
      </c>
      <c r="E63" s="572">
        <f>E62+C63-D63</f>
        <v/>
      </c>
    </row>
    <row r="64">
      <c r="E64" s="572">
        <f>E63+C64-D64</f>
        <v/>
      </c>
    </row>
    <row r="65">
      <c r="A65" s="156" t="n">
        <v>46100</v>
      </c>
      <c r="B65" s="112" t="inlineStr">
        <is>
          <t>兑付回款</t>
        </is>
      </c>
      <c r="C65" s="112" t="n">
        <v>6</v>
      </c>
      <c r="D65" s="112" t="n"/>
      <c r="E65" s="572">
        <f>E64+C65-D65</f>
        <v/>
      </c>
    </row>
    <row r="66">
      <c r="A66" s="156" t="n">
        <v>46101</v>
      </c>
      <c r="B66" s="112" t="inlineStr">
        <is>
          <t>中建投TOF申购</t>
        </is>
      </c>
      <c r="C66" s="112" t="n">
        <v>400</v>
      </c>
      <c r="D66" s="112" t="n"/>
      <c r="E66" s="572">
        <f>E65+C66-D66</f>
        <v/>
      </c>
    </row>
    <row r="67">
      <c r="A67" s="156" t="n">
        <v>46104</v>
      </c>
      <c r="B67" s="112" t="inlineStr">
        <is>
          <t>兑付回款</t>
        </is>
      </c>
      <c r="C67" s="112" t="n">
        <v>151</v>
      </c>
      <c r="D67" s="112" t="n"/>
      <c r="E67" s="572">
        <f>E66+C67-D67</f>
        <v/>
      </c>
    </row>
    <row r="68">
      <c r="A68" s="156" t="n">
        <v>46105</v>
      </c>
      <c r="B68" s="112" t="inlineStr">
        <is>
          <t>阳光金科赎回兑付</t>
        </is>
      </c>
      <c r="C68" s="112" t="n"/>
      <c r="D68" s="112" t="n">
        <v>34</v>
      </c>
      <c r="E68" s="572">
        <f>E67+C68-D68</f>
        <v/>
      </c>
    </row>
    <row r="69">
      <c r="A69" s="156" t="n"/>
      <c r="B69" s="112" t="n"/>
      <c r="C69" s="112" t="n"/>
      <c r="D69" s="112" t="n"/>
      <c r="E69" s="572">
        <f>E68+C69-D69</f>
        <v/>
      </c>
    </row>
    <row r="70">
      <c r="E70" s="572">
        <f>E69+C70-D70</f>
        <v/>
      </c>
    </row>
    <row r="71">
      <c r="A71" s="156" t="n">
        <v>46107</v>
      </c>
      <c r="B71" s="112" t="inlineStr">
        <is>
          <t>回款</t>
        </is>
      </c>
      <c r="C71" s="112" t="n">
        <v>110.6</v>
      </c>
      <c r="D71" s="112" t="n"/>
      <c r="E71" s="572">
        <f>E70+C71-D71</f>
        <v/>
      </c>
    </row>
    <row r="72">
      <c r="A72" s="156" t="n">
        <v>46107</v>
      </c>
      <c r="B72" s="112" t="inlineStr">
        <is>
          <t>温州回款</t>
        </is>
      </c>
      <c r="C72" s="112" t="n">
        <v>756.5</v>
      </c>
      <c r="D72" s="112" t="n"/>
      <c r="E72" s="572">
        <f>E71+C72-D72</f>
        <v/>
      </c>
    </row>
    <row r="73">
      <c r="A73" s="4" t="n">
        <v>46108</v>
      </c>
      <c r="B73" s="112" t="inlineStr">
        <is>
          <t>回款</t>
        </is>
      </c>
      <c r="C73" s="0" t="n">
        <v>69</v>
      </c>
      <c r="E73" s="572">
        <f>E72+C73-D73</f>
        <v/>
      </c>
    </row>
    <row r="74">
      <c r="A74" s="156" t="n">
        <v>46112</v>
      </c>
      <c r="B74" s="112" t="inlineStr">
        <is>
          <t>元康盛景1号赎回</t>
        </is>
      </c>
      <c r="C74" s="112" t="n"/>
      <c r="D74" s="112" t="n">
        <v>720</v>
      </c>
      <c r="E74" s="572">
        <f>E73+C74-D74</f>
        <v/>
      </c>
    </row>
    <row r="75">
      <c r="A75" s="156" t="n">
        <v>46112</v>
      </c>
      <c r="B75" s="112" t="inlineStr">
        <is>
          <t>元康盛景9号赎回</t>
        </is>
      </c>
      <c r="C75" s="112" t="n"/>
      <c r="D75" s="112" t="n">
        <v>650</v>
      </c>
      <c r="E75" s="572">
        <f>E74+C75-D75</f>
        <v/>
      </c>
    </row>
    <row r="76">
      <c r="A76" s="156" t="n"/>
      <c r="B76" s="112" t="n"/>
      <c r="C76" s="112" t="n"/>
      <c r="D76" s="112" t="n"/>
      <c r="E76" s="591" t="n">
        <v>230</v>
      </c>
    </row>
    <row r="77">
      <c r="A77" s="156" t="n">
        <v>46115</v>
      </c>
      <c r="B77" s="112" t="inlineStr">
        <is>
          <t>爱建申购</t>
        </is>
      </c>
      <c r="C77" s="112" t="n">
        <v>3000</v>
      </c>
      <c r="D77" s="112" t="n"/>
      <c r="E77" s="572" t="n">
        <v>3235</v>
      </c>
    </row>
    <row r="78">
      <c r="A78" s="156" t="n">
        <v>46120</v>
      </c>
      <c r="B78" s="112" t="inlineStr">
        <is>
          <t>铁建061C</t>
        </is>
      </c>
      <c r="C78" s="112" t="n"/>
      <c r="D78" s="576">
        <f>元康盛景28号!N151</f>
        <v/>
      </c>
      <c r="E78" s="572">
        <f>E77+C78-D78</f>
        <v/>
      </c>
      <c r="F78" s="0" t="inlineStr">
        <is>
          <t>铁建061C[260663.SH]，655w，111.938，4月8日，【】 to 外贸信托-元康盛景1号 赵婷婷 qt2850551246</t>
        </is>
      </c>
    </row>
    <row r="79">
      <c r="A79" s="156" t="n">
        <v>46120</v>
      </c>
      <c r="B79" s="112" t="inlineStr">
        <is>
          <t>G铁建82C</t>
        </is>
      </c>
      <c r="C79" s="112" t="n"/>
      <c r="D79" s="576">
        <f>元康盛景28号!N152</f>
        <v/>
      </c>
      <c r="E79" s="572">
        <f>E78+C79-D79</f>
        <v/>
      </c>
      <c r="F79" s="0" t="inlineStr">
        <is>
          <t>G铁建82C[266500.SH]，1025w，100.461，4月8日，【】 to 外贸信托-元康盛景1号 赵婷婷 qt2850551246</t>
        </is>
      </c>
    </row>
    <row r="80">
      <c r="A80" s="156" t="n"/>
      <c r="B80" s="112" t="n"/>
      <c r="C80" s="112" t="n"/>
      <c r="D80" s="576" t="n"/>
      <c r="E80" s="572">
        <f>E79+C80-D80</f>
        <v/>
      </c>
    </row>
    <row r="81">
      <c r="A81" s="156" t="n">
        <v>46120</v>
      </c>
      <c r="B81" s="112" t="inlineStr">
        <is>
          <t>阳光金科赎回兑付</t>
        </is>
      </c>
      <c r="C81" s="112" t="n"/>
      <c r="D81" s="112" t="n">
        <v>146.8</v>
      </c>
      <c r="E81" s="572">
        <f>E80+C81-D81</f>
        <v/>
      </c>
    </row>
    <row r="82">
      <c r="A82" s="156" t="n">
        <v>46120</v>
      </c>
      <c r="B82" s="112" t="inlineStr">
        <is>
          <t>元康17赎回</t>
        </is>
      </c>
      <c r="C82" s="112" t="n"/>
      <c r="D82" s="112" t="n">
        <v>1299.4</v>
      </c>
      <c r="E82" s="572">
        <f>E81+C82-D82</f>
        <v/>
      </c>
    </row>
    <row r="83">
      <c r="A83" s="156" t="n">
        <v>46122</v>
      </c>
      <c r="B83" s="112" t="inlineStr">
        <is>
          <t>元康20申购</t>
        </is>
      </c>
      <c r="C83" s="112" t="n">
        <v>1000</v>
      </c>
      <c r="D83" s="112" t="n"/>
      <c r="E83" s="572">
        <f>E82+C83-D83</f>
        <v/>
      </c>
      <c r="G83" s="169" t="inlineStr">
        <is>
          <t>25鼎柚3次级</t>
        </is>
      </c>
      <c r="H83" s="464">
        <f>XIRR(H84:H86,G84:G86)</f>
        <v/>
      </c>
    </row>
    <row r="84">
      <c r="A84" s="156" t="n">
        <v>46122</v>
      </c>
      <c r="B84" s="112" t="inlineStr">
        <is>
          <t>慧聚领航1号配置</t>
        </is>
      </c>
      <c r="C84" s="112" t="n">
        <v>2250</v>
      </c>
      <c r="D84" s="112" t="n"/>
      <c r="E84" s="572">
        <f>E83+C84-D84</f>
        <v/>
      </c>
      <c r="G84" s="1" t="n">
        <v>46009</v>
      </c>
      <c r="H84" s="586" t="n">
        <v>-101.1998</v>
      </c>
    </row>
    <row r="85">
      <c r="A85" s="156" t="n">
        <v>46122</v>
      </c>
      <c r="B85" s="112" t="inlineStr">
        <is>
          <t>25鼎柚3次级</t>
        </is>
      </c>
      <c r="C85" s="112" t="n"/>
      <c r="D85" s="411">
        <f>1500*H86/100</f>
        <v/>
      </c>
      <c r="E85" s="572">
        <f>E84+C85-D85</f>
        <v/>
      </c>
      <c r="F85" s="0" t="inlineStr">
        <is>
          <t>25鼎柚3次级[2589212.IB]，2400w，101.827，4月10日，国泰海通 冉雅婷 2881971956 to 外贸信托-元康盛景1号 赵婷婷 qt2850551246</t>
        </is>
      </c>
      <c r="G85" s="1" t="n">
        <v>46079</v>
      </c>
      <c r="H85" s="0" t="n">
        <v>0.7562</v>
      </c>
    </row>
    <row r="86">
      <c r="A86" s="156" t="n"/>
      <c r="B86" s="112" t="inlineStr">
        <is>
          <t>应付税费</t>
        </is>
      </c>
      <c r="C86" s="112" t="n"/>
      <c r="D86" s="112" t="n">
        <v>2.5</v>
      </c>
      <c r="E86" s="572">
        <f>E85+C86-D86</f>
        <v/>
      </c>
      <c r="G86" s="1" t="n">
        <v>46122</v>
      </c>
      <c r="H86" s="0" t="n">
        <v>101.827</v>
      </c>
    </row>
    <row r="87">
      <c r="A87" s="156" t="n">
        <v>46126</v>
      </c>
      <c r="B87" s="112" t="inlineStr">
        <is>
          <t>新增回购</t>
        </is>
      </c>
      <c r="C87" s="112" t="n">
        <v>900</v>
      </c>
      <c r="D87" s="112" t="n"/>
      <c r="E87" s="572">
        <f>E86+C87-D87</f>
        <v/>
      </c>
      <c r="F87" s="0" t="inlineStr">
        <is>
          <t>质押G铁建82C</t>
        </is>
      </c>
    </row>
    <row r="88">
      <c r="A88" s="156" t="n">
        <v>46126</v>
      </c>
      <c r="B88" s="112" t="inlineStr">
        <is>
          <t>通合新能源</t>
        </is>
      </c>
      <c r="C88" s="112" t="n"/>
      <c r="D88" s="578" t="n">
        <v>1800</v>
      </c>
      <c r="E88" s="572">
        <f>E87+C88-D88</f>
        <v/>
      </c>
      <c r="H88" s="259" t="n"/>
    </row>
    <row r="89">
      <c r="A89" s="156" t="n"/>
      <c r="B89" s="112" t="n"/>
      <c r="C89" s="112" t="n"/>
      <c r="D89" s="112" t="n"/>
      <c r="E89" s="572">
        <f>E88+C89-D89</f>
        <v/>
      </c>
    </row>
    <row r="90">
      <c r="A90" s="156" t="n">
        <v>46126</v>
      </c>
      <c r="B90" s="112" t="inlineStr">
        <is>
          <t>支付银行间费用</t>
        </is>
      </c>
      <c r="C90" s="112" t="n"/>
      <c r="D90" s="112" t="n">
        <v>1.05</v>
      </c>
      <c r="E90" s="572">
        <f>E89+C90-D90</f>
        <v/>
      </c>
    </row>
    <row r="91">
      <c r="A91" s="156" t="n">
        <v>46126</v>
      </c>
      <c r="B91" s="112" t="inlineStr">
        <is>
          <t>阳光金科赎回兑付</t>
        </is>
      </c>
      <c r="C91" s="112" t="n"/>
      <c r="D91" s="578">
        <f>135*1.2245</f>
        <v/>
      </c>
      <c r="E91" s="572">
        <f>E90+C91-D91</f>
        <v/>
      </c>
      <c r="H91" s="259" t="n">
        <v>25464.76</v>
      </c>
    </row>
    <row r="92">
      <c r="A92" s="156" t="n">
        <v>46127</v>
      </c>
      <c r="B92" s="112" t="inlineStr">
        <is>
          <t>小鹏4次</t>
        </is>
      </c>
      <c r="C92" s="112" t="n"/>
      <c r="D92" s="578">
        <f>500*101.2%</f>
        <v/>
      </c>
      <c r="E92" s="572">
        <f>E91+C92-D92</f>
        <v/>
      </c>
      <c r="F92" s="562" t="inlineStr">
        <is>
          <t>2、4/15 小鹏4次 146862.SZ 50,000.00  101.2000 粤财信托·鹏雅8号（交易商代码：000170   交易员代码：004Q0001  交易主体代码：3600000004）to 【外贸信托-元康盛景1号 （交易商代码：【000680】；交易主体代码：【3600003118】；交易员代码：【00IW0011 机构经纪1】 ）】</t>
        </is>
      </c>
    </row>
    <row r="93">
      <c r="A93" s="156" t="n">
        <v>46128</v>
      </c>
      <c r="B93" s="112" t="inlineStr">
        <is>
          <t>铁建061C</t>
        </is>
      </c>
      <c r="C93" s="112" t="n">
        <v>733</v>
      </c>
      <c r="D93" s="112" t="n"/>
      <c r="E93" s="572">
        <f>E92+C93-D93</f>
        <v/>
      </c>
      <c r="F93" s="562" t="inlineStr">
        <is>
          <t>铁建061C[260663.SH]，655w，112.01，4月16日，【外贸信托-元康盛景1号  赵婷婷 qt2850551246】 to 中信证券 赵恒昆3004076439</t>
        </is>
      </c>
      <c r="G93" s="0" t="inlineStr">
        <is>
          <t>铁建061C[260663.SH]，655w，112.015，4月16日，中信证券 赵恒昆3004076439 to 粤开证券 许逸潇2881647849</t>
        </is>
      </c>
    </row>
    <row r="94">
      <c r="A94" s="156" t="n">
        <v>46127</v>
      </c>
      <c r="B94" s="112" t="inlineStr">
        <is>
          <t>蔚能电池兑付</t>
        </is>
      </c>
      <c r="C94" s="411" t="n">
        <v>3.4</v>
      </c>
      <c r="D94" s="112" t="n"/>
      <c r="E94" s="572">
        <f>E93+C94-D94</f>
        <v/>
      </c>
      <c r="F94" s="562" t="n"/>
    </row>
    <row r="95">
      <c r="A95" s="156" t="n">
        <v>46128</v>
      </c>
      <c r="B95" s="112" t="inlineStr">
        <is>
          <t>致远11号兑付</t>
        </is>
      </c>
      <c r="C95" s="112" t="n">
        <v>2.99</v>
      </c>
      <c r="D95" s="112" t="n"/>
      <c r="E95" s="572">
        <f>E94+C95-D95</f>
        <v/>
      </c>
      <c r="F95" s="562" t="n"/>
    </row>
    <row r="96">
      <c r="A96" s="156" t="n">
        <v>46129</v>
      </c>
      <c r="B96" s="112" t="inlineStr">
        <is>
          <t>25熠顺ABN001优先A3兑付</t>
        </is>
      </c>
      <c r="C96" s="112" t="n">
        <v>3.29</v>
      </c>
      <c r="D96" s="112" t="n"/>
      <c r="E96" s="572">
        <f>E95+C96-D96</f>
        <v/>
      </c>
      <c r="F96" s="562" t="n"/>
    </row>
    <row r="97">
      <c r="A97" s="156" t="n">
        <v>46133</v>
      </c>
      <c r="B97" s="112" t="inlineStr">
        <is>
          <t>元康20号</t>
        </is>
      </c>
      <c r="C97" s="112" t="n">
        <v>730</v>
      </c>
      <c r="D97" s="112" t="n"/>
      <c r="E97" s="572">
        <f>E96+C97-D97</f>
        <v/>
      </c>
      <c r="F97" s="562" t="inlineStr">
        <is>
          <t>已发</t>
        </is>
      </c>
    </row>
    <row r="98">
      <c r="A98" s="156" t="n">
        <v>46133</v>
      </c>
      <c r="B98" s="112" t="inlineStr">
        <is>
          <t>阳光金科赎回兑付</t>
        </is>
      </c>
      <c r="C98" s="112" t="n"/>
      <c r="D98" s="411">
        <f>179*1.2263</f>
        <v/>
      </c>
      <c r="E98" s="572">
        <f>E97+C98-D98</f>
        <v/>
      </c>
    </row>
    <row r="99">
      <c r="A99" s="156" t="n">
        <v>46133</v>
      </c>
      <c r="B99" s="454" t="inlineStr">
        <is>
          <t>和赢蔚能ABN001、和赢蔚能ABN002兑付</t>
        </is>
      </c>
      <c r="C99" s="112">
        <f>5.92+3.7</f>
        <v/>
      </c>
      <c r="D99" s="112" t="n"/>
      <c r="E99" s="572">
        <f>E98+C99-D99</f>
        <v/>
      </c>
    </row>
    <row r="100">
      <c r="A100" s="156" t="n">
        <v>46134</v>
      </c>
      <c r="B100" s="112" t="inlineStr">
        <is>
          <t>玮盈兑付</t>
        </is>
      </c>
      <c r="C100" s="112" t="n">
        <v>169</v>
      </c>
      <c r="D100" s="112" t="n"/>
      <c r="E100" s="572">
        <f>E99+C100-D100</f>
        <v/>
      </c>
    </row>
    <row r="101">
      <c r="A101" s="156" t="n">
        <v>46134</v>
      </c>
      <c r="B101" s="112" t="inlineStr">
        <is>
          <t>还回购荟臻032C</t>
        </is>
      </c>
      <c r="C101" s="112" t="n"/>
      <c r="D101" s="112" t="n">
        <v>841</v>
      </c>
      <c r="E101" s="572">
        <f>E100+C101-D101</f>
        <v/>
      </c>
    </row>
    <row r="102">
      <c r="A102" s="156" t="n">
        <v>46134</v>
      </c>
      <c r="B102" s="112" t="inlineStr">
        <is>
          <t>元康9号赎回</t>
        </is>
      </c>
      <c r="C102" s="112" t="n"/>
      <c r="D102" s="112" t="n">
        <v>521</v>
      </c>
      <c r="E102" s="572">
        <f>E101+C102-D102</f>
        <v/>
      </c>
      <c r="F102" s="562" t="inlineStr">
        <is>
          <t>已发</t>
        </is>
      </c>
      <c r="G102" s="0">
        <f>520/1.226</f>
        <v/>
      </c>
      <c r="I102" s="564" t="n">
        <v>100.5728</v>
      </c>
      <c r="J102" s="565">
        <f>(O116-I102)*I116/100</f>
        <v/>
      </c>
      <c r="L102" s="565" t="n"/>
    </row>
    <row r="103">
      <c r="A103" s="156" t="n">
        <v>46134</v>
      </c>
      <c r="B103" s="112" t="inlineStr">
        <is>
          <t>25浩悦ABN001次兑付</t>
        </is>
      </c>
      <c r="C103" s="112" t="n">
        <v>2.97</v>
      </c>
      <c r="D103" s="112" t="n"/>
      <c r="E103" s="572">
        <f>E102+C103-D103</f>
        <v/>
      </c>
      <c r="F103" s="562" t="n"/>
      <c r="J103" s="564" t="n"/>
      <c r="L103" s="565" t="n"/>
      <c r="M103" s="564" t="inlineStr">
        <is>
          <t>外贸-元康1</t>
        </is>
      </c>
    </row>
    <row r="104">
      <c r="A104" s="156" t="n">
        <v>46135</v>
      </c>
      <c r="B104" s="112" t="inlineStr">
        <is>
          <t>24易鑫恒通ABN001优先B</t>
        </is>
      </c>
      <c r="C104" s="112" t="n"/>
      <c r="D104" s="112" t="n">
        <v>101.66</v>
      </c>
      <c r="E104" s="572">
        <f>E103+C104-D104</f>
        <v/>
      </c>
      <c r="F104" s="562" t="inlineStr">
        <is>
          <t>4/23，24易鑫恒通ABN001优先B，082481523.IB，100w，净价101.34，国泰海通 樊文娟 to 外贸信托-元康盛景1号 赵婷婷 qt2850551246</t>
        </is>
      </c>
      <c r="H104" s="564" t="n">
        <v>1550</v>
      </c>
      <c r="J104" s="564" t="inlineStr">
        <is>
          <t>外贸-元康1</t>
        </is>
      </c>
      <c r="L104" s="464">
        <f>XIRR(L105:L110,K105:K110)</f>
        <v/>
      </c>
      <c r="M104" s="464">
        <f>XIRR(M108:M110,K108:K110)</f>
        <v/>
      </c>
    </row>
    <row r="105">
      <c r="A105" s="156" t="n">
        <v>46136</v>
      </c>
      <c r="B105" s="112" t="inlineStr">
        <is>
          <t>24京能3号ABN001次</t>
        </is>
      </c>
      <c r="C105" s="112" t="n">
        <v>1997</v>
      </c>
      <c r="D105" s="112" t="n"/>
      <c r="E105" s="572">
        <f>E104+C105-D105</f>
        <v/>
      </c>
      <c r="F105" s="562" t="inlineStr">
        <is>
          <t>4/24，24京能3号ABN001次，2010w，价格99.38，外贸信托-元康盛景1号 赵婷婷 qt2850551246 to 天风证券 李泽堃3007354220
4/24，24京能3号ABN001次，2010w，价格99.40，天风证券 李泽堃3007354220 to 粤财信托·鹏雅10号集合资金信托计划（第127期）  粤财信托：王同博 3004238546</t>
        </is>
      </c>
      <c r="H105" s="0" t="inlineStr">
        <is>
          <t>24京能3号ABN001次</t>
        </is>
      </c>
      <c r="I105" s="464">
        <f>XIRR(I106:I110,H106:H110)</f>
        <v/>
      </c>
      <c r="J105" s="464">
        <f>XIRR(J107:J110,H107:H110)</f>
        <v/>
      </c>
      <c r="K105" s="266" t="n">
        <v>45867</v>
      </c>
      <c r="L105" s="586" t="n">
        <v>-101.0712</v>
      </c>
      <c r="M105" s="564" t="n"/>
    </row>
    <row r="106">
      <c r="A106" s="156" t="n">
        <v>46136</v>
      </c>
      <c r="B106" s="112" t="inlineStr">
        <is>
          <t>大业</t>
        </is>
      </c>
      <c r="C106" s="112" t="n">
        <v>5000</v>
      </c>
      <c r="D106" s="112" t="n"/>
      <c r="E106" s="572">
        <f>E105+C106-D106</f>
        <v/>
      </c>
      <c r="H106" s="1" t="n">
        <v>45903</v>
      </c>
      <c r="I106" s="564" t="n">
        <v>-101.078</v>
      </c>
      <c r="J106" s="564" t="n"/>
      <c r="K106" s="266" t="n">
        <v>45896.00049768519</v>
      </c>
      <c r="L106" s="586" t="n">
        <v>1.746575346666667</v>
      </c>
      <c r="M106" s="564" t="n"/>
    </row>
    <row r="107">
      <c r="A107" s="156" t="n">
        <v>46136</v>
      </c>
      <c r="B107" s="110" t="inlineStr">
        <is>
          <t>元康20号申购</t>
        </is>
      </c>
      <c r="C107" s="112" t="n">
        <v>800</v>
      </c>
      <c r="D107" s="112" t="n"/>
      <c r="E107" s="572">
        <f>E106+C107-D107</f>
        <v/>
      </c>
      <c r="H107" s="1" t="n">
        <v>45960</v>
      </c>
      <c r="J107" s="564" t="n">
        <v>-101.078</v>
      </c>
      <c r="K107" s="266" t="n">
        <v>45996.00049768519</v>
      </c>
      <c r="L107" s="586" t="n">
        <v>2.32876712</v>
      </c>
      <c r="M107" s="564" t="n"/>
    </row>
    <row r="108">
      <c r="A108" s="156" t="n">
        <v>46136</v>
      </c>
      <c r="B108" s="112" t="inlineStr">
        <is>
          <t>信元1号</t>
        </is>
      </c>
      <c r="C108" s="112" t="n">
        <v>263</v>
      </c>
      <c r="D108" s="112" t="n"/>
      <c r="E108" s="572">
        <f>E107+C108-D108</f>
        <v/>
      </c>
      <c r="H108" s="1" t="n">
        <v>45996.00049768519</v>
      </c>
      <c r="I108" s="564" t="n">
        <v>2.32876712</v>
      </c>
      <c r="J108" s="564">
        <f>+I108</f>
        <v/>
      </c>
      <c r="K108" s="266" t="n">
        <v>46063</v>
      </c>
      <c r="L108" s="565" t="n"/>
      <c r="M108" s="564" t="n">
        <v>-100.12</v>
      </c>
    </row>
    <row r="109">
      <c r="A109" s="286" t="n"/>
      <c r="B109" s="274" t="n"/>
      <c r="C109" s="274" t="n"/>
      <c r="D109" s="274" t="n"/>
      <c r="E109" s="572">
        <f>E108+C109-D109</f>
        <v/>
      </c>
      <c r="H109" s="1" t="n">
        <v>46108.00049768519</v>
      </c>
      <c r="I109" s="564" t="n">
        <v>2.608219173333333</v>
      </c>
      <c r="J109" s="564">
        <f>+I109</f>
        <v/>
      </c>
      <c r="K109" s="266" t="n">
        <v>46108.00049768519</v>
      </c>
      <c r="L109" s="586" t="n">
        <v>2.608219173333333</v>
      </c>
      <c r="M109" s="564">
        <f>+L109</f>
        <v/>
      </c>
    </row>
    <row r="110">
      <c r="A110" s="156" t="n">
        <v>46139</v>
      </c>
      <c r="B110" s="253" t="inlineStr">
        <is>
          <t>兑付回款</t>
        </is>
      </c>
      <c r="C110" s="253" t="n">
        <v>223</v>
      </c>
      <c r="D110" s="112" t="n"/>
      <c r="E110" s="572">
        <f>E109+C110-D110</f>
        <v/>
      </c>
      <c r="H110" s="1" t="n">
        <v>46136</v>
      </c>
      <c r="I110" s="579">
        <f>-I106*(1+6%*(H110-H106)/365)-I108-I109</f>
        <v/>
      </c>
      <c r="J110" s="579">
        <f>+I110</f>
        <v/>
      </c>
      <c r="K110" s="266" t="n">
        <v>46136</v>
      </c>
      <c r="L110" s="579">
        <f>-L105*(1+6%*(K110-K105)/365)-SUM(L106:L109)</f>
        <v/>
      </c>
      <c r="M110" s="579">
        <f>+L110</f>
        <v/>
      </c>
    </row>
    <row r="111">
      <c r="A111" s="252" t="n">
        <v>46139</v>
      </c>
      <c r="B111" s="253" t="inlineStr">
        <is>
          <t>小鹏4次</t>
        </is>
      </c>
      <c r="C111" s="253">
        <f>1400*101.4216%</f>
        <v/>
      </c>
      <c r="D111" s="112" t="n"/>
      <c r="E111" s="572">
        <f>E110+C111-D111</f>
        <v/>
      </c>
      <c r="F111" s="562" t="inlineStr">
        <is>
          <t>小鹏4次[146862.SZ]，1400w，101.4216，4月27日，外贸信托-元康盛景1号 赵婷婷 qt2850551246 to 粤开证券 许逸潇2881647849</t>
        </is>
      </c>
      <c r="K111" s="266" t="n"/>
    </row>
    <row r="112">
      <c r="A112" s="156" t="n">
        <v>46139</v>
      </c>
      <c r="B112" s="112" t="inlineStr">
        <is>
          <t>弗迪</t>
        </is>
      </c>
      <c r="C112" s="112" t="n"/>
      <c r="D112" s="112">
        <f>1100*1.005</f>
        <v/>
      </c>
      <c r="E112" s="572">
        <f>E111+C112-D112</f>
        <v/>
      </c>
      <c r="F112" s="562" t="inlineStr">
        <is>
          <t>4/27+0,25弗迪租赁ABN001次级(绿色)[082580900.IB],1100w,全价100.5035   中金 李欣月3007455122 to 外贸信托元康盛景1号 赵婷婷</t>
        </is>
      </c>
      <c r="H112" s="0" t="inlineStr">
        <is>
          <t>24京能3号ABN001次</t>
        </is>
      </c>
      <c r="I112" s="564" t="n">
        <v>100.5728</v>
      </c>
    </row>
    <row r="113">
      <c r="A113" s="156" t="n"/>
      <c r="B113" s="112" t="n"/>
      <c r="C113" s="112" t="n"/>
      <c r="D113" s="112" t="n"/>
      <c r="E113" s="572">
        <f>E112+C113-D113</f>
        <v/>
      </c>
      <c r="H113" s="564" t="inlineStr">
        <is>
          <t>买入时间</t>
        </is>
      </c>
      <c r="I113" s="565" t="inlineStr">
        <is>
          <t>份额</t>
        </is>
      </c>
      <c r="J113" s="565" t="inlineStr">
        <is>
          <t>买入价格</t>
        </is>
      </c>
      <c r="K113" s="564" t="inlineStr">
        <is>
          <t>期间分配</t>
        </is>
      </c>
      <c r="L113" s="564" t="inlineStr">
        <is>
          <t>交易日期</t>
        </is>
      </c>
      <c r="M113" s="0" t="inlineStr">
        <is>
          <t>交易价格</t>
        </is>
      </c>
      <c r="N113" s="0" t="inlineStr">
        <is>
          <t>交易金额</t>
        </is>
      </c>
      <c r="O113" s="0" t="inlineStr">
        <is>
          <t>交易价格</t>
        </is>
      </c>
    </row>
    <row r="114">
      <c r="A114" s="156" t="n"/>
      <c r="B114" s="112" t="n"/>
      <c r="C114" s="112" t="n"/>
      <c r="D114" s="112" t="n"/>
      <c r="E114" s="572">
        <f>E113+C114-D114</f>
        <v/>
      </c>
      <c r="H114" s="266" t="n">
        <v>45867</v>
      </c>
      <c r="I114" s="348" t="n">
        <v>1100</v>
      </c>
      <c r="J114" s="579" t="n">
        <v>101.0712</v>
      </c>
      <c r="K114" s="564">
        <f>SUM(L106:L109)</f>
        <v/>
      </c>
      <c r="L114" s="279" t="n">
        <v>46136</v>
      </c>
      <c r="M114" s="595">
        <f>+J114*(1+6%*(L114-H114)/365)-K114</f>
        <v/>
      </c>
      <c r="N114" s="0">
        <f>+M114*I114/100</f>
        <v/>
      </c>
    </row>
    <row r="115">
      <c r="A115" s="156" t="n"/>
      <c r="B115" s="112" t="n"/>
      <c r="C115" s="112" t="n"/>
      <c r="D115" s="112" t="n"/>
      <c r="E115" s="572">
        <f>E114+C115-D115</f>
        <v/>
      </c>
      <c r="H115" s="1" t="n">
        <v>45903</v>
      </c>
      <c r="I115" s="348" t="n">
        <v>910</v>
      </c>
      <c r="J115" s="579" t="n">
        <v>101.078</v>
      </c>
      <c r="K115" s="564">
        <f>SUM(I108:I109)</f>
        <v/>
      </c>
      <c r="L115" s="279" t="n">
        <v>46136</v>
      </c>
      <c r="M115" s="595">
        <f>+J115*(1+6%*(L115-H115)/365)-K115</f>
        <v/>
      </c>
      <c r="N115" s="0">
        <f>+M115*I115/100</f>
        <v/>
      </c>
    </row>
    <row r="116">
      <c r="A116" s="156" t="n">
        <v>46140</v>
      </c>
      <c r="B116" s="112" t="inlineStr">
        <is>
          <t>元康盛景1号赎回</t>
        </is>
      </c>
      <c r="C116" s="112" t="n"/>
      <c r="D116" s="112" t="n">
        <v>6800</v>
      </c>
      <c r="E116" s="572">
        <f>E115+C116-D116</f>
        <v/>
      </c>
      <c r="F116" s="562" t="inlineStr">
        <is>
          <t>已发</t>
        </is>
      </c>
      <c r="H116" s="564" t="n"/>
      <c r="I116" s="348">
        <f>SUM(I114:I115)</f>
        <v/>
      </c>
      <c r="K116" s="564" t="n"/>
      <c r="N116" s="0">
        <f>SUM(N114:N115)</f>
        <v/>
      </c>
      <c r="O116" s="0">
        <f>ROUND(+N116/I116*100,3)</f>
        <v/>
      </c>
    </row>
    <row r="117">
      <c r="A117" s="156" t="n">
        <v>46140</v>
      </c>
      <c r="B117" s="112" t="inlineStr">
        <is>
          <t>元康9号赎回</t>
        </is>
      </c>
      <c r="C117" s="112" t="n"/>
      <c r="D117" s="112" t="n">
        <v>1100</v>
      </c>
      <c r="E117" s="572">
        <f>E116+C117-D117</f>
        <v/>
      </c>
      <c r="F117" s="562" t="inlineStr">
        <is>
          <t>已发</t>
        </is>
      </c>
    </row>
    <row r="118">
      <c r="A118" s="156" t="n">
        <v>46140</v>
      </c>
      <c r="B118" s="112" t="inlineStr">
        <is>
          <t>元康17号赎回</t>
        </is>
      </c>
      <c r="C118" s="112" t="n"/>
      <c r="D118" s="112" t="n">
        <v>800</v>
      </c>
      <c r="E118" s="572">
        <f>E117+C118-D118</f>
        <v/>
      </c>
      <c r="F118" s="562" t="inlineStr">
        <is>
          <t>已发</t>
        </is>
      </c>
    </row>
    <row r="119">
      <c r="A119" s="156" t="n"/>
      <c r="B119" s="112" t="n"/>
      <c r="C119" s="112" t="n"/>
      <c r="D119" s="112" t="n"/>
      <c r="E119" s="572">
        <f>E118+C119-D119</f>
        <v/>
      </c>
    </row>
    <row r="120">
      <c r="A120" s="156" t="n">
        <v>46140</v>
      </c>
      <c r="B120" s="253" t="inlineStr">
        <is>
          <t>玮盈2次</t>
        </is>
      </c>
      <c r="C120" s="605" t="n">
        <v>272.8446</v>
      </c>
      <c r="D120" s="112" t="n"/>
      <c r="E120" s="572">
        <f>E119+C120-D120</f>
        <v/>
      </c>
      <c r="F120" s="562" t="inlineStr">
        <is>
          <t>玮盈2次[144378.SZ]，600w，45.4691，4月28日，外贸信托-元康盛景1号 赵婷婷 qt2850551246 to 粤开证券 许逸潇2881647849</t>
        </is>
      </c>
    </row>
    <row r="121">
      <c r="A121" s="156" t="n">
        <v>46140</v>
      </c>
      <c r="B121" s="253" t="inlineStr">
        <is>
          <t>玮盈3次</t>
        </is>
      </c>
      <c r="C121" s="605" t="n">
        <v>271.6</v>
      </c>
      <c r="D121" s="112" t="n"/>
      <c r="E121" s="572">
        <f>E120+C121-D121</f>
        <v/>
      </c>
      <c r="F121" s="562" t="inlineStr">
        <is>
          <t>玮盈3次[144479.SZ]，400w，67.895，4月28日，外贸信托-元康盛景1号 赵婷婷 qt2850551246 to 粤开证券 许逸潇2881647849</t>
        </is>
      </c>
    </row>
    <row r="122">
      <c r="A122" s="252" t="n">
        <v>46140</v>
      </c>
      <c r="B122" s="253" t="inlineStr">
        <is>
          <t>小鹏4次</t>
        </is>
      </c>
      <c r="C122" s="605" t="n">
        <v>131.87486</v>
      </c>
      <c r="D122" s="605" t="n"/>
      <c r="E122" s="580">
        <f>E121+C122-D122</f>
        <v/>
      </c>
      <c r="F122" s="562" t="inlineStr">
        <is>
          <t>小鹏4次[146862.SZ]，130w，101.4372，4月28日，外贸信托-元康盛景1号 赵婷婷 qt2850551246 to 粤开证券 许逸潇2881647849</t>
        </is>
      </c>
      <c r="K122" s="565" t="inlineStr">
        <is>
          <t>净价</t>
        </is>
      </c>
      <c r="L122" s="564" t="inlineStr">
        <is>
          <t>全价</t>
        </is>
      </c>
      <c r="N122" s="0" t="inlineStr">
        <is>
          <t>上一计息日</t>
        </is>
      </c>
    </row>
    <row r="123">
      <c r="A123" s="252" t="n"/>
      <c r="B123" s="253" t="n"/>
      <c r="C123" s="253" t="n"/>
      <c r="D123" s="253" t="n"/>
      <c r="E123" s="591" t="n">
        <v>726</v>
      </c>
      <c r="G123" s="117" t="n">
        <v>46135</v>
      </c>
      <c r="H123" s="0" t="inlineStr">
        <is>
          <t>24易鑫恒通ABN001优先B</t>
        </is>
      </c>
      <c r="I123" s="564" t="n">
        <v>100</v>
      </c>
      <c r="J123" s="464" t="n">
        <v>0.042</v>
      </c>
      <c r="K123" s="564">
        <f>L123-4.2*(G123-N123)/365</f>
        <v/>
      </c>
      <c r="L123" s="565" t="n">
        <v>101.66</v>
      </c>
      <c r="M123" s="564">
        <f>+L123*I123/100</f>
        <v/>
      </c>
      <c r="N123" s="117" t="n">
        <v>46107</v>
      </c>
    </row>
    <row r="124">
      <c r="A124" s="252" t="n">
        <v>46141</v>
      </c>
      <c r="B124" s="253" t="inlineStr">
        <is>
          <t>铁建085C</t>
        </is>
      </c>
      <c r="C124" s="253" t="n"/>
      <c r="D124" s="253">
        <f>550*100.363%</f>
        <v/>
      </c>
      <c r="E124" s="580">
        <f>E123+C124-D124</f>
        <v/>
      </c>
      <c r="F124" s="562" t="inlineStr">
        <is>
          <t>4/29，铁建085C，267930.SH，550w，100.363，国泰海通 樊文娟 to 外贸信托-元康盛景1号 赵婷婷 qt2850551246</t>
        </is>
      </c>
      <c r="G124" s="117" t="n"/>
      <c r="I124" s="564" t="n"/>
      <c r="J124" s="464" t="n"/>
      <c r="K124" s="564" t="n"/>
      <c r="L124" s="565" t="n"/>
      <c r="M124" s="564" t="n"/>
      <c r="N124" s="117" t="n"/>
    </row>
    <row r="125">
      <c r="A125" s="156" t="n">
        <v>46142</v>
      </c>
      <c r="B125" s="253" t="inlineStr">
        <is>
          <t>新疆国信分配</t>
        </is>
      </c>
      <c r="C125" s="605" t="n">
        <v>18.32</v>
      </c>
      <c r="D125" s="112" t="n"/>
      <c r="E125" s="572">
        <f>E124+C125-D125</f>
        <v/>
      </c>
      <c r="I125" s="564">
        <f>SUM(I123:I124)</f>
        <v/>
      </c>
      <c r="J125" s="565" t="n"/>
      <c r="K125" s="565" t="n"/>
      <c r="L125" s="565" t="n"/>
      <c r="M125" s="564">
        <f>SUM(M123:M124)</f>
        <v/>
      </c>
    </row>
    <row r="126">
      <c r="A126" s="156" t="n"/>
      <c r="B126" s="112" t="n"/>
      <c r="C126" s="112" t="n"/>
      <c r="D126" s="112" t="n"/>
      <c r="E126" s="572">
        <f>E125+C126-D126</f>
        <v/>
      </c>
    </row>
    <row r="127">
      <c r="A127" s="156" t="n"/>
      <c r="B127" s="112" t="n"/>
      <c r="C127" s="112" t="n"/>
      <c r="D127" s="112" t="n"/>
      <c r="E127" s="572">
        <f>E126+C127-D127</f>
        <v/>
      </c>
    </row>
    <row r="128">
      <c r="A128" s="156" t="n"/>
      <c r="B128" s="112" t="n"/>
      <c r="C128" s="112" t="n"/>
      <c r="D128" s="112" t="n"/>
      <c r="E128" s="572">
        <f>E127+C128-D128</f>
        <v/>
      </c>
    </row>
    <row r="129">
      <c r="A129" s="156" t="n">
        <v>46149</v>
      </c>
      <c r="B129" s="112" t="inlineStr">
        <is>
          <t>阳光金科赎回兑付</t>
        </is>
      </c>
      <c r="C129" s="112" t="n"/>
      <c r="D129" s="112" t="n">
        <v>135</v>
      </c>
      <c r="E129" s="572">
        <f>E128+C129-D129</f>
        <v/>
      </c>
    </row>
    <row r="130">
      <c r="A130" s="156" t="n">
        <v>46150</v>
      </c>
      <c r="B130" s="112" t="inlineStr">
        <is>
          <t>元康17号申购</t>
        </is>
      </c>
      <c r="C130" s="112" t="n">
        <v>800</v>
      </c>
      <c r="D130" s="112" t="n"/>
      <c r="E130" s="572">
        <f>E129+C130-D130</f>
        <v/>
      </c>
    </row>
    <row r="131">
      <c r="A131" s="156" t="n">
        <v>46150</v>
      </c>
      <c r="B131" s="112" t="inlineStr">
        <is>
          <t>元康20号申购</t>
        </is>
      </c>
      <c r="C131" s="112" t="n">
        <v>1600</v>
      </c>
      <c r="D131" s="112" t="n"/>
      <c r="E131" s="572">
        <f>E130+C131-D131</f>
        <v/>
      </c>
      <c r="H131" s="0" t="inlineStr">
        <is>
          <t>小鹏4次</t>
        </is>
      </c>
      <c r="I131" s="464">
        <f>XIRR(I132:I134,H132:H134)</f>
        <v/>
      </c>
    </row>
    <row r="132">
      <c r="A132" s="156" t="n">
        <v>46150</v>
      </c>
      <c r="B132" s="112" t="inlineStr">
        <is>
          <t>大业申购</t>
        </is>
      </c>
      <c r="C132" s="112" t="n">
        <v>3500</v>
      </c>
      <c r="D132" s="112" t="n"/>
      <c r="E132" s="572">
        <f>E131+C132-D132</f>
        <v/>
      </c>
      <c r="H132" s="117" t="n">
        <v>46127</v>
      </c>
      <c r="I132" s="564" t="n">
        <v>-101.2</v>
      </c>
    </row>
    <row r="133">
      <c r="A133" s="156" t="n"/>
      <c r="B133" s="112" t="n"/>
      <c r="C133" s="112" t="n"/>
      <c r="D133" s="112" t="n"/>
      <c r="E133" s="572">
        <f>E132+C133-D133</f>
        <v/>
      </c>
      <c r="H133" s="117" t="n">
        <v>46149</v>
      </c>
      <c r="I133" s="564" t="n">
        <v>0.4658</v>
      </c>
    </row>
    <row r="134">
      <c r="A134" s="156" t="n"/>
      <c r="B134" s="112" t="n"/>
      <c r="C134" s="112" t="n"/>
      <c r="D134" s="112" t="n"/>
      <c r="E134" s="572">
        <f>E133+C134-D134</f>
        <v/>
      </c>
      <c r="H134" s="117" t="n">
        <v>46153</v>
      </c>
      <c r="I134" s="564" t="n">
        <v>101.1307</v>
      </c>
      <c r="J134" s="586">
        <f>-I132*(1+5.5%*(H134-H132)/365)-I133</f>
        <v/>
      </c>
    </row>
    <row r="135">
      <c r="A135" s="156" t="n">
        <v>46153</v>
      </c>
      <c r="B135" s="112" t="inlineStr">
        <is>
          <t>小鹏4次</t>
        </is>
      </c>
      <c r="C135" s="112">
        <f>485*101.1307%</f>
        <v/>
      </c>
      <c r="D135" s="112" t="n"/>
      <c r="E135" s="572">
        <f>E134+C135-D135</f>
        <v/>
      </c>
      <c r="F135" s="562" t="inlineStr">
        <is>
          <t>5/11 小鹏4次 146862.SZ 48,500.00  101.1307 【外贸信托-元康盛景1号 （交易商代码：【000680】；交易主体代码：【3600003118】；交易员代码：【00IW0011 机构经纪1】 ）】 to 粤财信托·鹏雅8号（交易商代码：000170   交易员代码：004Q0001  交易主体代码：3600000004）</t>
        </is>
      </c>
    </row>
    <row r="136">
      <c r="A136" s="156" t="n">
        <v>46153</v>
      </c>
      <c r="B136" s="112" t="inlineStr">
        <is>
          <t>24山高保理ABN001次</t>
        </is>
      </c>
      <c r="C136" s="112" t="n"/>
      <c r="D136" s="578">
        <f>1740*103.178%</f>
        <v/>
      </c>
      <c r="E136" s="572">
        <f>E135+C136-D136</f>
        <v/>
      </c>
      <c r="F136" s="562" t="inlineStr">
        <is>
          <t>5-11   24山高保理ABN001次 (082482257.IB)   1740W   全价103.178  山东信托（QT：3004283409，山东信托刘和玉）出  天风证券
5-11   24山高保理ABN001次 (082482257.IB)   1740W   全价103.178  天风证券  出   朗姿</t>
        </is>
      </c>
    </row>
    <row r="137">
      <c r="A137" s="156" t="n">
        <v>46153</v>
      </c>
      <c r="B137" s="112" t="inlineStr">
        <is>
          <t>25山高保理ABN001次</t>
        </is>
      </c>
      <c r="C137" s="112" t="n"/>
      <c r="D137" s="578">
        <f>1150*104.549%</f>
        <v/>
      </c>
      <c r="E137" s="572">
        <f>E136+C137-D137</f>
        <v/>
      </c>
      <c r="F137" s="562" t="inlineStr">
        <is>
          <t>5-11   25山高保理ABN001次 (082580823.IB)  1150W   全价104.514  山东信托（QT：3004283409，山东信托刘和玉）出  天风证券
5-11   25山高保理ABN001次 (082580823.IB)  1150W   全价104.549  天风证券  出   朗姿</t>
        </is>
      </c>
    </row>
    <row r="138">
      <c r="A138" s="156" t="n">
        <v>46153</v>
      </c>
      <c r="B138" s="112" t="inlineStr">
        <is>
          <t>25山高保理ABN002次</t>
        </is>
      </c>
      <c r="C138" s="112" t="n"/>
      <c r="D138" s="578">
        <f>1050*103.462%</f>
        <v/>
      </c>
      <c r="E138" s="572">
        <f>E137+C138-D138</f>
        <v/>
      </c>
      <c r="F138" s="562" t="inlineStr">
        <is>
          <t>5-11   25山高保理ABN002次 (082581153.IB)   1050W   全价103.462  山东信托（QT：3004283409，山东信托刘和玉）出  天风证券
5-11   25山高保理ABN002次 (082581153.IB)   1050W   全价103.462  天风证券  出   朗姿</t>
        </is>
      </c>
    </row>
    <row r="139">
      <c r="A139" s="156" t="n">
        <v>46154</v>
      </c>
      <c r="B139" s="112" t="inlineStr">
        <is>
          <t>荟臻032回购</t>
        </is>
      </c>
      <c r="C139" s="112" t="n">
        <v>800</v>
      </c>
      <c r="D139" s="112" t="n"/>
      <c r="E139" s="572">
        <f>E138+C139-D139</f>
        <v/>
      </c>
      <c r="H139" s="1" t="n"/>
    </row>
    <row r="140">
      <c r="A140" s="156" t="n">
        <v>46154</v>
      </c>
      <c r="B140" s="112" t="inlineStr">
        <is>
          <t>25京能</t>
        </is>
      </c>
      <c r="C140" s="112" t="n"/>
      <c r="D140" s="112">
        <f>3000*99.825%</f>
        <v/>
      </c>
      <c r="E140" s="572" t="n">
        <v>175</v>
      </c>
      <c r="F140" s="562" t="inlineStr">
        <is>
          <t>5/12，25京能4号ABN001次（绿色）[082580987.IB]，3000w，99.825，国泰海通 冉雅婷 to 外贸信托元康盛景1号 赵婷婷</t>
        </is>
      </c>
      <c r="H140" s="117" t="n"/>
      <c r="I140" s="586" t="n"/>
    </row>
    <row r="141">
      <c r="A141" s="156" t="n">
        <v>46156</v>
      </c>
      <c r="B141" s="112" t="inlineStr">
        <is>
          <t>阳光金科赎回兑付</t>
        </is>
      </c>
      <c r="C141" s="112" t="n"/>
      <c r="D141" s="112" t="n">
        <v>120.491</v>
      </c>
      <c r="E141" s="572">
        <f>E140+C141-D141</f>
        <v/>
      </c>
    </row>
    <row r="142">
      <c r="A142" s="156" t="n">
        <v>46157</v>
      </c>
      <c r="B142" s="112" t="inlineStr">
        <is>
          <t>大业申购</t>
        </is>
      </c>
      <c r="C142" s="112" t="n">
        <v>450</v>
      </c>
      <c r="D142" s="112" t="n"/>
      <c r="E142" s="572">
        <f>E141+C142-D142</f>
        <v/>
      </c>
    </row>
    <row r="143">
      <c r="A143" s="156" t="n">
        <v>46161</v>
      </c>
      <c r="B143" s="112" t="inlineStr">
        <is>
          <t>25京能</t>
        </is>
      </c>
      <c r="C143" s="578">
        <f>2970*100.3397%</f>
        <v/>
      </c>
      <c r="D143" s="112" t="n"/>
      <c r="E143" s="572">
        <f>E142+C143-D143</f>
        <v/>
      </c>
      <c r="F143" s="562" t="inlineStr">
        <is>
          <t>2、2026-5-19，25京能4号ABN001次(082580987.IB)，2970w，100.3397元，外贸信托元康盛景1号 赵婷婷 to 天风证券 唐德婷 qt 2885078648
4、2026-5-19，25京能4号ABN001次(082580987.IB)，2970w，XXX.XX元，XXX to 粤财信托·鹏雅10号集合资金信托计划（第127期）</t>
        </is>
      </c>
    </row>
    <row r="144">
      <c r="A144" s="156" t="n">
        <v>46161</v>
      </c>
      <c r="B144" s="112" t="inlineStr">
        <is>
          <t>腾券熠顺</t>
        </is>
      </c>
      <c r="C144" s="112">
        <f>1000*100.2%</f>
        <v/>
      </c>
      <c r="D144" s="112" t="n"/>
      <c r="E144" s="572">
        <f>E143+C144-D144</f>
        <v/>
      </c>
      <c r="F144" s="562" t="inlineStr">
        <is>
          <t>5/19，25熠顺ABN001优先A3[082580640.IB]，1000w，净价100.2，外贸信托元康盛景1号 赵婷婷 to 天风证券 唐德婷 qt 2885078648
5/19，25熠顺ABN001优先A3[082580640.IB]，1000w，净价100.2，天风证券 唐德婷 qt 2885078648 to 申港证券成思颖</t>
        </is>
      </c>
    </row>
    <row r="145">
      <c r="A145" s="156" t="n">
        <v>46161</v>
      </c>
      <c r="B145" s="112" t="inlineStr">
        <is>
          <t>阳光金科赎回兑付</t>
        </is>
      </c>
      <c r="C145" s="112" t="n"/>
      <c r="D145" s="112">
        <f>21.5*1.23</f>
        <v/>
      </c>
      <c r="E145" s="572">
        <f>E144+C145-D145</f>
        <v/>
      </c>
      <c r="H145" s="0" t="inlineStr">
        <is>
          <t>24京能3号ABN001次</t>
        </is>
      </c>
      <c r="I145" s="464">
        <f>XIRR(I146:I159,H146:H159)</f>
        <v/>
      </c>
      <c r="J145" s="464">
        <f>XIRR(J152:J159,H152:H159)</f>
        <v/>
      </c>
      <c r="R145" s="464" t="n"/>
    </row>
    <row r="146">
      <c r="A146" s="156" t="n">
        <v>46162</v>
      </c>
      <c r="B146" s="112" t="inlineStr">
        <is>
          <t>众鑫</t>
        </is>
      </c>
      <c r="C146" s="112" t="n"/>
      <c r="D146" s="0" t="n">
        <v>1500</v>
      </c>
      <c r="E146" s="572">
        <f>E145+C146-D146</f>
        <v/>
      </c>
      <c r="F146" s="0" t="inlineStr">
        <is>
          <t>5/20，24和赢众鑫ABN002优先B (082480881.IB) 1500w，净价99.6419，xxx to 外贸信托元康盛景1号 赵婷婷</t>
        </is>
      </c>
      <c r="H146" s="1" t="n">
        <v>45653</v>
      </c>
      <c r="I146" s="564" t="n">
        <v>-100</v>
      </c>
    </row>
    <row r="147">
      <c r="E147" s="563">
        <f>E146+C147-D147</f>
        <v/>
      </c>
      <c r="H147" s="1" t="n">
        <v>45737</v>
      </c>
      <c r="I147" s="564" t="n">
        <v>1.956164</v>
      </c>
      <c r="J147" s="586" t="n"/>
    </row>
    <row r="148">
      <c r="A148" s="4" t="n">
        <v>46162</v>
      </c>
      <c r="B148" s="0" t="inlineStr">
        <is>
          <t>24易鑫恒通ABN001优先B</t>
        </is>
      </c>
      <c r="D148" s="0">
        <f>300*101.56%</f>
        <v/>
      </c>
      <c r="E148" s="563">
        <f>E147+C148-D148</f>
        <v/>
      </c>
      <c r="F148" s="562" t="inlineStr">
        <is>
          <t>5/20，24易鑫恒通ABN001优先B，300W，101.295，国泰海通 冉雅婷 to 外贸信托元康盛景1号 赵婷婷</t>
        </is>
      </c>
      <c r="H148" s="1" t="n">
        <v>45821</v>
      </c>
      <c r="I148" s="564" t="n">
        <v>1.956164386666666</v>
      </c>
      <c r="J148" s="586" t="n"/>
    </row>
    <row r="149">
      <c r="E149" s="563">
        <f>E148+C149-D149</f>
        <v/>
      </c>
      <c r="H149" s="1" t="n">
        <v>45896</v>
      </c>
      <c r="I149" s="564" t="n">
        <v>1.746575346666667</v>
      </c>
      <c r="J149" s="586" t="n"/>
      <c r="K149" s="4" t="inlineStr">
        <is>
          <t>2026/5/7估值</t>
        </is>
      </c>
      <c r="Q149" s="606" t="n"/>
    </row>
    <row r="150">
      <c r="E150" s="563">
        <f>E149+C150-D150</f>
        <v/>
      </c>
      <c r="H150" s="1" t="n">
        <v>45996</v>
      </c>
      <c r="I150" s="564" t="n">
        <v>2.32876712</v>
      </c>
      <c r="J150" s="586" t="n"/>
      <c r="K150" s="607" t="n">
        <v>101.0105</v>
      </c>
      <c r="Q150" s="573" t="n"/>
    </row>
    <row r="151">
      <c r="B151" s="0" t="inlineStr">
        <is>
          <t>弗迪？</t>
        </is>
      </c>
      <c r="D151" s="0" t="n">
        <v>2000</v>
      </c>
      <c r="E151" s="563">
        <f>E150+C151-D151</f>
        <v/>
      </c>
      <c r="H151" s="1" t="n">
        <v>46108</v>
      </c>
      <c r="I151" s="564" t="n">
        <v>2.608219173333333</v>
      </c>
      <c r="J151" s="586" t="n"/>
      <c r="K151" s="565" t="inlineStr">
        <is>
          <t>票面价格</t>
        </is>
      </c>
    </row>
    <row r="152">
      <c r="E152" s="563">
        <f>E151+C152-D152</f>
        <v/>
      </c>
      <c r="H152" s="1" t="n">
        <v>46155</v>
      </c>
      <c r="J152" s="608" t="n">
        <v>-104.39</v>
      </c>
      <c r="K152" s="609">
        <f>100*(1+8.5%*(H152-H146)/365)-SUM(I147:I151)</f>
        <v/>
      </c>
    </row>
    <row r="153">
      <c r="B153" s="0" t="inlineStr">
        <is>
          <t>腾券弗迪</t>
        </is>
      </c>
      <c r="C153" s="0" t="n">
        <v>2000</v>
      </c>
      <c r="E153" s="563">
        <f>E152+C153-D153</f>
        <v/>
      </c>
      <c r="H153" s="1" t="n">
        <v>46199</v>
      </c>
      <c r="I153" s="564">
        <f>8.5*(H153-H151)/365</f>
        <v/>
      </c>
      <c r="J153" s="565">
        <f>+I153</f>
        <v/>
      </c>
    </row>
    <row r="154">
      <c r="E154" s="563">
        <f>E153+C154-D154</f>
        <v/>
      </c>
      <c r="H154" s="1" t="n">
        <v>46293</v>
      </c>
      <c r="I154" s="564">
        <f>8.5*(H154-H153)/365</f>
        <v/>
      </c>
      <c r="J154" s="565">
        <f>+I154</f>
        <v/>
      </c>
      <c r="K154" s="564" t="n"/>
    </row>
    <row r="155">
      <c r="E155" s="563">
        <f>E154+C155-D155</f>
        <v/>
      </c>
      <c r="H155" s="1" t="n">
        <v>46384</v>
      </c>
      <c r="I155" s="564">
        <f>8.5*(H155-H154)/365</f>
        <v/>
      </c>
      <c r="J155" s="565">
        <f>+I155</f>
        <v/>
      </c>
    </row>
    <row r="156">
      <c r="A156" s="4" t="n">
        <v>46170</v>
      </c>
      <c r="B156" s="537" t="inlineStr">
        <is>
          <t>25东裕7叔裕ABN001次</t>
        </is>
      </c>
      <c r="C156" s="0" t="n">
        <v>430</v>
      </c>
      <c r="E156" s="563">
        <f>E155+C156-D156</f>
        <v/>
      </c>
      <c r="H156" s="1">
        <f>+EDATE(H155,3)</f>
        <v/>
      </c>
      <c r="I156" s="564">
        <f>8.5*(H156-H155)/365</f>
        <v/>
      </c>
      <c r="J156" s="565">
        <f>+I156</f>
        <v/>
      </c>
    </row>
    <row r="157">
      <c r="A157" s="4" t="n">
        <v>46170</v>
      </c>
      <c r="B157" s="0" t="inlineStr">
        <is>
          <t>京东尚亦2-2</t>
        </is>
      </c>
      <c r="D157" s="0" t="n">
        <v>3500</v>
      </c>
      <c r="E157" s="563">
        <f>E156+C157-D157</f>
        <v/>
      </c>
      <c r="H157" s="1" t="n">
        <v>46566</v>
      </c>
      <c r="I157" s="564">
        <f>8.5*(H157-H156)/365</f>
        <v/>
      </c>
      <c r="J157" s="565">
        <f>+I157</f>
        <v/>
      </c>
    </row>
    <row r="158">
      <c r="E158" s="563">
        <f>E157+C158-D158</f>
        <v/>
      </c>
      <c r="H158" s="1" t="n">
        <v>46657</v>
      </c>
      <c r="I158" s="564">
        <f>8.5*(H158-H157)/365</f>
        <v/>
      </c>
      <c r="J158" s="565">
        <f>+I158</f>
        <v/>
      </c>
    </row>
    <row r="159">
      <c r="A159" s="4" t="n">
        <v>46182</v>
      </c>
      <c r="B159" s="0" t="inlineStr">
        <is>
          <t>荟臻032回购归还</t>
        </is>
      </c>
      <c r="D159" s="0" t="n">
        <v>800</v>
      </c>
      <c r="E159" s="563">
        <f>E158+C159-D159</f>
        <v/>
      </c>
      <c r="H159" s="1" t="n">
        <v>46748</v>
      </c>
      <c r="I159" s="564">
        <f>8.5*(H159-H158)/365+100</f>
        <v/>
      </c>
      <c r="J159" s="565">
        <f>+I159</f>
        <v/>
      </c>
    </row>
    <row r="160">
      <c r="E160" s="563">
        <f>E159+C160-D160</f>
        <v/>
      </c>
    </row>
    <row r="161">
      <c r="A161" s="4" t="n">
        <v>46185</v>
      </c>
      <c r="B161" s="0" t="inlineStr">
        <is>
          <t>荟臻032回款</t>
        </is>
      </c>
      <c r="C161" s="0" t="n">
        <v>1660</v>
      </c>
      <c r="E161" s="563">
        <f>E160+C161-D161</f>
        <v/>
      </c>
    </row>
    <row r="162">
      <c r="A162" s="4" t="n">
        <v>46189</v>
      </c>
      <c r="B162" s="0" t="inlineStr">
        <is>
          <t>光大保德信赎回兑付</t>
        </is>
      </c>
      <c r="D162" s="0">
        <f>2058.7*1.24</f>
        <v/>
      </c>
      <c r="E162" s="563">
        <f>E161+C162-D162</f>
        <v/>
      </c>
    </row>
    <row r="163">
      <c r="E163" s="563">
        <f>E162+C163-D163</f>
        <v/>
      </c>
    </row>
    <row r="164">
      <c r="E164" s="563">
        <f>E163+C164-D164</f>
        <v/>
      </c>
    </row>
    <row r="165">
      <c r="E165" s="563">
        <f>E164+C165-D165</f>
        <v/>
      </c>
    </row>
  </sheetData>
  <conditionalFormatting sqref="B156">
    <cfRule type="duplicateValues" priority="2" dxfId="0"/>
  </conditionalFormatting>
  <conditionalFormatting sqref="E1:E1048576">
    <cfRule type="cellIs" priority="1" operator="lessThan" dxfId="0">
      <formula>0</formula>
    </cfRule>
  </conditionalFormatting>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C3:J14"/>
  <sheetViews>
    <sheetView workbookViewId="0">
      <selection activeCell="G37" sqref="G37"/>
    </sheetView>
  </sheetViews>
  <sheetFormatPr baseColWidth="8" defaultRowHeight="16.5"/>
  <cols>
    <col width="9" bestFit="1" customWidth="1" style="326" min="4" max="4"/>
  </cols>
  <sheetData>
    <row r="3">
      <c r="D3" s="117" t="n">
        <v>46097</v>
      </c>
      <c r="E3" s="0" t="inlineStr">
        <is>
          <t>4月底</t>
        </is>
      </c>
      <c r="F3" s="0" t="inlineStr">
        <is>
          <t>合计</t>
        </is>
      </c>
      <c r="I3" s="0" t="inlineStr">
        <is>
          <t>收益率预期</t>
        </is>
      </c>
    </row>
    <row r="4">
      <c r="C4" s="0" t="inlineStr">
        <is>
          <t>申购</t>
        </is>
      </c>
      <c r="D4" s="563" t="n">
        <v>1000</v>
      </c>
      <c r="E4" s="0" t="n">
        <v>6000</v>
      </c>
      <c r="F4" s="577">
        <f>SUM(D4:E4)</f>
        <v/>
      </c>
      <c r="I4" s="464">
        <f>SUMPRODUCT(I5:I9,F5:F9)/F4</f>
        <v/>
      </c>
    </row>
    <row r="5">
      <c r="C5" s="117" t="inlineStr">
        <is>
          <t>元康26</t>
        </is>
      </c>
      <c r="D5" s="0" t="n">
        <v>500</v>
      </c>
      <c r="E5" s="122" t="n">
        <v>4000</v>
      </c>
      <c r="F5" s="577">
        <f>SUM(D5:E5)</f>
        <v/>
      </c>
      <c r="I5" s="464" t="n">
        <v>0.035</v>
      </c>
    </row>
    <row r="6">
      <c r="C6" s="0" t="inlineStr">
        <is>
          <t>元康28</t>
        </is>
      </c>
      <c r="D6" s="0" t="n">
        <v>500</v>
      </c>
      <c r="E6" s="122" t="n"/>
      <c r="F6" s="577">
        <f>SUM(D6:E6)</f>
        <v/>
      </c>
      <c r="I6" s="150" t="n">
        <v>0.05</v>
      </c>
    </row>
    <row r="7">
      <c r="C7" s="0" t="inlineStr">
        <is>
          <t>外贸元康1</t>
        </is>
      </c>
      <c r="E7" s="122" t="n"/>
      <c r="F7" s="577">
        <f>SUM(D7:E7)</f>
        <v/>
      </c>
      <c r="I7" s="464" t="n">
        <v>0.055</v>
      </c>
    </row>
    <row r="8">
      <c r="C8" s="0" t="inlineStr">
        <is>
          <t>元康31</t>
        </is>
      </c>
      <c r="E8" s="122" t="n">
        <v>2000</v>
      </c>
      <c r="F8" s="577">
        <f>SUM(D8:E8)</f>
        <v/>
      </c>
      <c r="I8" s="464" t="n">
        <v>0.06</v>
      </c>
    </row>
    <row r="9">
      <c r="C9" s="0" t="inlineStr">
        <is>
          <t>元康32</t>
        </is>
      </c>
      <c r="F9" s="577">
        <f>SUM(D9:E9)</f>
        <v/>
      </c>
    </row>
    <row r="14">
      <c r="J14" s="0" t="inlineStr">
        <is>
          <t> </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N17"/>
  <sheetViews>
    <sheetView workbookViewId="0">
      <selection activeCell="E1" sqref="E1:E1048576"/>
    </sheetView>
  </sheetViews>
  <sheetFormatPr baseColWidth="8" defaultRowHeight="16.5"/>
  <cols>
    <col width="10" bestFit="1" customWidth="1" style="4" min="1" max="1"/>
    <col width="16" customWidth="1" style="326" min="2" max="2"/>
    <col width="7.75" customWidth="1" style="326" min="3" max="4"/>
    <col width="8.75" bestFit="1" customWidth="1" style="563" min="5" max="5"/>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46049</v>
      </c>
      <c r="B3" s="112" t="inlineStr">
        <is>
          <t>东吴代销成立</t>
        </is>
      </c>
      <c r="C3" s="112" t="n">
        <v>1920</v>
      </c>
      <c r="D3" s="112" t="n"/>
      <c r="E3" s="572" t="n">
        <v>1920</v>
      </c>
    </row>
    <row r="4">
      <c r="A4" s="156" t="n">
        <v>46050</v>
      </c>
      <c r="B4" s="112" t="inlineStr">
        <is>
          <t>购买货基</t>
        </is>
      </c>
      <c r="C4" s="112" t="n"/>
      <c r="D4" s="112" t="n">
        <v>1920</v>
      </c>
      <c r="E4" s="572">
        <f>+E3+C4-D4</f>
        <v/>
      </c>
    </row>
    <row r="5">
      <c r="A5" s="156" t="n"/>
      <c r="B5" s="268" t="n"/>
      <c r="C5" s="610" t="n"/>
      <c r="D5" s="610" t="n"/>
      <c r="E5" s="572">
        <f>+E4+C5-D5</f>
        <v/>
      </c>
      <c r="K5" s="0" t="inlineStr">
        <is>
          <t>申购开放</t>
        </is>
      </c>
      <c r="L5" s="0" t="inlineStr">
        <is>
          <t>1、4、7、10月10号</t>
        </is>
      </c>
    </row>
    <row r="6">
      <c r="A6" s="156" t="n"/>
      <c r="B6" s="268" t="n"/>
      <c r="C6" s="610" t="n"/>
      <c r="D6" s="610" t="n"/>
      <c r="E6" s="572">
        <f>+E5+C6-D6</f>
        <v/>
      </c>
      <c r="K6" s="0" t="inlineStr">
        <is>
          <t>赎回开放</t>
        </is>
      </c>
      <c r="L6" s="0" t="inlineStr">
        <is>
          <t>1、4、7、10月10号</t>
        </is>
      </c>
    </row>
    <row r="7">
      <c r="A7" s="156" t="n"/>
      <c r="B7" s="268" t="n"/>
      <c r="C7" s="610" t="n"/>
      <c r="D7" s="611" t="n"/>
      <c r="E7" s="572">
        <f>+E6+C7-D7</f>
        <v/>
      </c>
      <c r="K7" s="0" t="inlineStr">
        <is>
          <t>赎回预约</t>
        </is>
      </c>
      <c r="L7" s="0" t="inlineStr">
        <is>
          <t>T-30日至T-20日（工作日）</t>
        </is>
      </c>
    </row>
    <row r="8">
      <c r="A8" s="156" t="n">
        <v>46079</v>
      </c>
      <c r="B8" s="112" t="inlineStr">
        <is>
          <t>赎回货基</t>
        </is>
      </c>
      <c r="C8" s="610" t="n">
        <v>1920</v>
      </c>
      <c r="D8" s="611" t="n"/>
      <c r="E8" s="572">
        <f>+E7+C8-D8</f>
        <v/>
      </c>
      <c r="K8" s="0" t="inlineStr">
        <is>
          <t>申购费A类</t>
        </is>
      </c>
      <c r="L8" s="0" t="inlineStr">
        <is>
          <t>300w优先0.25%</t>
        </is>
      </c>
    </row>
    <row r="9">
      <c r="A9" s="156" t="n">
        <v>46080</v>
      </c>
      <c r="B9" s="112" t="inlineStr">
        <is>
          <t>外贸元康1</t>
        </is>
      </c>
      <c r="C9" s="610" t="n"/>
      <c r="D9" s="611" t="n">
        <v>400</v>
      </c>
      <c r="E9" s="572">
        <f>+E8+C9-D9</f>
        <v/>
      </c>
      <c r="F9" s="0" t="inlineStr">
        <is>
          <t>今天先沟通提供空白合同</t>
        </is>
      </c>
      <c r="H9" s="573">
        <f>D9/1920</f>
        <v/>
      </c>
      <c r="K9" s="0" t="inlineStr">
        <is>
          <t>赎回费</t>
        </is>
      </c>
      <c r="L9" s="0" t="inlineStr">
        <is>
          <t>180d以内1%</t>
        </is>
      </c>
    </row>
    <row r="10">
      <c r="A10" s="156" t="n">
        <v>46080</v>
      </c>
      <c r="B10" s="112" t="inlineStr">
        <is>
          <t>元康28</t>
        </is>
      </c>
      <c r="C10" s="611" t="n"/>
      <c r="D10" s="611" t="n">
        <v>400</v>
      </c>
      <c r="E10" s="572">
        <f>+E9+C10-D10</f>
        <v/>
      </c>
      <c r="H10" s="573">
        <f>D10/1920</f>
        <v/>
      </c>
      <c r="K10" s="0" t="inlineStr">
        <is>
          <t>锁定期</t>
        </is>
      </c>
      <c r="L10" s="0" t="inlineStr">
        <is>
          <t>180d</t>
        </is>
      </c>
    </row>
    <row r="11">
      <c r="A11" s="156" t="n">
        <v>46080</v>
      </c>
      <c r="B11" s="112" t="inlineStr">
        <is>
          <t>朗瑞1-5</t>
        </is>
      </c>
      <c r="C11" s="112" t="n"/>
      <c r="D11" s="112" t="n">
        <v>400</v>
      </c>
      <c r="E11" s="572">
        <f>+E10+C11-D11</f>
        <v/>
      </c>
      <c r="H11" s="573">
        <f>D11/1920</f>
        <v/>
      </c>
      <c r="K11" s="0" t="inlineStr">
        <is>
          <t>管理费</t>
        </is>
      </c>
      <c r="L11" s="146" t="n">
        <v>0.011</v>
      </c>
      <c r="M11" s="0" t="inlineStr">
        <is>
          <t>A类</t>
        </is>
      </c>
    </row>
    <row r="12">
      <c r="A12" s="156" t="n">
        <v>46080</v>
      </c>
      <c r="B12" s="112" t="inlineStr">
        <is>
          <t>鹏雅119</t>
        </is>
      </c>
      <c r="C12" s="112" t="n"/>
      <c r="D12" s="112" t="n">
        <v>380</v>
      </c>
      <c r="E12" s="572" t="n">
        <v>342</v>
      </c>
      <c r="H12" s="573">
        <f>D12/1920</f>
        <v/>
      </c>
      <c r="L12" s="150" t="n">
        <v>0.006</v>
      </c>
      <c r="M12" s="0" t="inlineStr">
        <is>
          <t>B类</t>
        </is>
      </c>
    </row>
    <row r="13">
      <c r="A13" s="156" t="n">
        <v>46090</v>
      </c>
      <c r="B13" s="112" t="inlineStr">
        <is>
          <t>朗瑞1-7</t>
        </is>
      </c>
      <c r="C13" s="112" t="n"/>
      <c r="D13" s="611" t="n">
        <v>340</v>
      </c>
      <c r="E13" s="572">
        <f>+E12+C13-D13</f>
        <v/>
      </c>
      <c r="H13" s="573">
        <f>D13/1920</f>
        <v/>
      </c>
      <c r="K13" s="0" t="inlineStr">
        <is>
          <t>carry</t>
        </is>
      </c>
      <c r="L13" s="146" t="inlineStr">
        <is>
          <t>3.5以上35%</t>
        </is>
      </c>
      <c r="M13" s="0" t="inlineStr">
        <is>
          <t>A类</t>
        </is>
      </c>
    </row>
    <row r="14">
      <c r="E14" s="563">
        <f>+E13+C14-D14</f>
        <v/>
      </c>
      <c r="L14" s="146" t="inlineStr">
        <is>
          <t>3.5以上28%</t>
        </is>
      </c>
      <c r="M14" s="0" t="inlineStr">
        <is>
          <t>B类</t>
        </is>
      </c>
      <c r="N14" s="0" t="inlineStr">
        <is>
          <t>本基金管理人及其从业人员、本基金管理人关联方及其员工、专业机构投资者为B类份额的委托人</t>
        </is>
      </c>
    </row>
    <row r="15">
      <c r="E15" s="563">
        <f>+E14+C15-D15</f>
        <v/>
      </c>
      <c r="F15" s="0" t="inlineStr">
        <is>
          <t>待定</t>
        </is>
      </c>
    </row>
    <row r="16">
      <c r="E16" s="563">
        <f>+E15+C16-D16</f>
        <v/>
      </c>
    </row>
    <row r="17">
      <c r="E17" s="563">
        <f>+E16+C17-D17</f>
        <v/>
      </c>
    </row>
  </sheetData>
  <conditionalFormatting sqref="E1:E1048576">
    <cfRule type="cellIs" priority="1" operator="lessThan" dxfId="0">
      <formula>0</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W44"/>
  <sheetViews>
    <sheetView topLeftCell="A13" workbookViewId="0">
      <selection activeCell="L38" sqref="L38"/>
    </sheetView>
  </sheetViews>
  <sheetFormatPr baseColWidth="8" defaultRowHeight="16.5"/>
  <cols>
    <col width="10" bestFit="1" customWidth="1" style="4" min="1" max="1"/>
    <col width="16" customWidth="1" style="326" min="2" max="2"/>
    <col width="7.75" customWidth="1" style="326" min="3" max="4"/>
    <col width="8.75" bestFit="1" customWidth="1" style="563" min="5" max="5"/>
    <col width="17.25" customWidth="1" style="326" min="9" max="9"/>
    <col width="12.875" bestFit="1" customWidth="1" style="326" min="11" max="11"/>
    <col width="9.75" bestFit="1" customWidth="1" style="326" min="19" max="19"/>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46087</v>
      </c>
      <c r="B3" s="112" t="n"/>
      <c r="C3" s="112" t="n"/>
      <c r="D3" s="112" t="n"/>
      <c r="E3" s="572" t="n">
        <v>1500</v>
      </c>
    </row>
    <row r="4">
      <c r="A4" s="156" t="n"/>
      <c r="B4" s="112" t="n"/>
      <c r="C4" s="112" t="n"/>
      <c r="D4" s="112" t="n"/>
      <c r="E4" s="572">
        <f>+E3+C4-D4</f>
        <v/>
      </c>
      <c r="I4" s="0" t="inlineStr">
        <is>
          <t>申购开放</t>
        </is>
      </c>
      <c r="J4" s="0" t="inlineStr">
        <is>
          <t>1、4、7、10月初5个工作日</t>
        </is>
      </c>
    </row>
    <row r="5">
      <c r="A5" s="156" t="n">
        <v>46092</v>
      </c>
      <c r="B5" s="268" t="inlineStr">
        <is>
          <t>元康28号</t>
        </is>
      </c>
      <c r="C5" s="112" t="n"/>
      <c r="D5" s="610">
        <f>$E$4*F5</f>
        <v/>
      </c>
      <c r="E5" s="572">
        <f>+E4+C5-D5</f>
        <v/>
      </c>
      <c r="F5" s="146" t="n">
        <v>0.2</v>
      </c>
      <c r="I5" s="0" t="inlineStr">
        <is>
          <t>赎回开放</t>
        </is>
      </c>
      <c r="J5" s="0" t="inlineStr">
        <is>
          <t>1、4、7、10月初第5个工作日</t>
        </is>
      </c>
    </row>
    <row r="6">
      <c r="A6" s="156" t="n">
        <v>46091</v>
      </c>
      <c r="B6" s="268" t="inlineStr">
        <is>
          <t>朗瑞1-5</t>
        </is>
      </c>
      <c r="C6" s="112" t="n"/>
      <c r="D6" s="610">
        <f>$E$4*F6</f>
        <v/>
      </c>
      <c r="E6" s="572">
        <f>+E5+C6-D6</f>
        <v/>
      </c>
      <c r="F6" s="146" t="n">
        <v>0.2</v>
      </c>
      <c r="I6" s="0" t="inlineStr">
        <is>
          <t>赎回预约</t>
        </is>
      </c>
      <c r="J6" s="0" t="inlineStr">
        <is>
          <t>T-90日至T-20日（工作日）</t>
        </is>
      </c>
    </row>
    <row r="7">
      <c r="A7" s="156" t="n">
        <v>46091</v>
      </c>
      <c r="B7" s="268" t="inlineStr">
        <is>
          <t>全景1号</t>
        </is>
      </c>
      <c r="C7" s="112" t="n"/>
      <c r="D7" s="610">
        <f>$E$4*F7</f>
        <v/>
      </c>
      <c r="E7" s="572">
        <f>+E6+C7-D7</f>
        <v/>
      </c>
      <c r="F7" s="146" t="n">
        <v>0.25</v>
      </c>
      <c r="I7" s="0" t="inlineStr">
        <is>
          <t>赎回费</t>
        </is>
      </c>
      <c r="J7" s="0" t="inlineStr">
        <is>
          <t>3个月内0.5%</t>
        </is>
      </c>
    </row>
    <row r="8">
      <c r="A8" s="211" t="n"/>
      <c r="B8" s="268" t="n"/>
      <c r="C8" s="112" t="n"/>
      <c r="D8" s="610" t="n"/>
      <c r="E8" s="572">
        <f>+E7+C8-D8</f>
        <v/>
      </c>
      <c r="F8" s="146" t="n">
        <v>0.2</v>
      </c>
      <c r="G8" s="0" t="inlineStr">
        <is>
          <t xml:space="preserve">311定 </t>
        </is>
      </c>
      <c r="J8" s="0" t="inlineStr">
        <is>
          <t>3-6个月0.2%</t>
        </is>
      </c>
    </row>
    <row r="9">
      <c r="A9" s="211" t="n">
        <v>46094</v>
      </c>
      <c r="B9" s="268" t="inlineStr">
        <is>
          <t>外贸元康1</t>
        </is>
      </c>
      <c r="C9" s="112" t="n"/>
      <c r="D9" s="610">
        <f>$E$4*F9</f>
        <v/>
      </c>
      <c r="E9" s="572">
        <f>+E8+C9-D9</f>
        <v/>
      </c>
      <c r="F9" s="146" t="n">
        <v>0.15</v>
      </c>
      <c r="G9" s="0" t="inlineStr">
        <is>
          <t xml:space="preserve">311定 </t>
        </is>
      </c>
      <c r="H9" s="573" t="n"/>
      <c r="I9" s="0" t="inlineStr">
        <is>
          <t>管理费</t>
        </is>
      </c>
      <c r="J9" s="146" t="n">
        <v>0.01</v>
      </c>
    </row>
    <row r="10">
      <c r="A10" s="211" t="n">
        <v>46094</v>
      </c>
      <c r="B10" s="612" t="inlineStr">
        <is>
          <t>鹏雅120</t>
        </is>
      </c>
      <c r="C10" s="112" t="n"/>
      <c r="D10" s="611" t="n">
        <v>300</v>
      </c>
      <c r="E10" s="572">
        <f>+E9+C10-D10</f>
        <v/>
      </c>
      <c r="G10" s="0" t="inlineStr">
        <is>
          <t xml:space="preserve">311定 </t>
        </is>
      </c>
      <c r="H10" s="573" t="n"/>
      <c r="I10" s="0" t="inlineStr">
        <is>
          <t>carry</t>
        </is>
      </c>
      <c r="J10" s="146" t="inlineStr">
        <is>
          <t>0以上10%</t>
        </is>
      </c>
      <c r="K10" s="0" t="inlineStr">
        <is>
          <t>A类</t>
        </is>
      </c>
    </row>
    <row r="11">
      <c r="A11" s="156" t="n">
        <v>46114</v>
      </c>
      <c r="B11" s="302" t="inlineStr">
        <is>
          <t>赎回全景1号</t>
        </is>
      </c>
      <c r="C11" s="112" t="n">
        <v>107.36596</v>
      </c>
      <c r="D11" s="112" t="n"/>
      <c r="E11" s="572">
        <f>+E10+C11-D11</f>
        <v/>
      </c>
      <c r="F11" s="0" t="inlineStr">
        <is>
          <t>赎回100w份额</t>
        </is>
      </c>
      <c r="H11" s="573" t="n"/>
      <c r="J11" s="146" t="n">
        <v>0</v>
      </c>
      <c r="K11" s="0" t="inlineStr">
        <is>
          <t>B类</t>
        </is>
      </c>
      <c r="L11" s="0" t="inlineStr">
        <is>
          <t>管理人及其从业人员、管理人关联方及其员工为B类份额的委托人</t>
        </is>
      </c>
    </row>
    <row r="12">
      <c r="A12" s="156" t="n"/>
      <c r="B12" s="268" t="n"/>
      <c r="C12" s="112" t="n"/>
      <c r="D12" s="112" t="n"/>
      <c r="E12" s="572" t="n">
        <v>108</v>
      </c>
      <c r="H12" s="573" t="n"/>
    </row>
    <row r="13">
      <c r="A13" s="156" t="n">
        <v>46120</v>
      </c>
      <c r="B13" s="268" t="inlineStr">
        <is>
          <t>东吴追加申购</t>
        </is>
      </c>
      <c r="C13" s="112" t="n">
        <v>9600</v>
      </c>
      <c r="D13" s="611" t="n"/>
      <c r="E13" s="572">
        <f>+E12+C13-D13</f>
        <v/>
      </c>
      <c r="H13" s="573" t="n"/>
      <c r="M13" s="0" t="inlineStr">
        <is>
          <t>1st</t>
        </is>
      </c>
      <c r="N13" s="0" t="inlineStr">
        <is>
          <t>2nd</t>
        </is>
      </c>
      <c r="T13" s="0" t="inlineStr">
        <is>
          <t>4月底</t>
        </is>
      </c>
    </row>
    <row r="14">
      <c r="A14" s="156" t="n"/>
      <c r="B14" s="112" t="n"/>
      <c r="C14" s="112" t="n"/>
      <c r="D14" s="112" t="n"/>
      <c r="E14" s="572">
        <f>+E13+C14-D14</f>
        <v/>
      </c>
      <c r="G14" s="0" t="inlineStr">
        <is>
          <t>待定</t>
        </is>
      </c>
      <c r="M14" s="0">
        <f>SUM(M15:M28)</f>
        <v/>
      </c>
      <c r="N14" s="0" t="n">
        <v>9720</v>
      </c>
      <c r="O14" s="0">
        <f>SUM(M14:N14)</f>
        <v/>
      </c>
      <c r="Q14" s="0" t="inlineStr">
        <is>
          <t>波动率</t>
        </is>
      </c>
      <c r="R14" s="0" t="inlineStr">
        <is>
          <t>收益率</t>
        </is>
      </c>
      <c r="T14" s="0" t="n">
        <v>11500</v>
      </c>
      <c r="V14" s="0" t="inlineStr">
        <is>
          <t>波动率</t>
        </is>
      </c>
      <c r="W14" s="0" t="inlineStr">
        <is>
          <t>收益率</t>
        </is>
      </c>
    </row>
    <row r="15">
      <c r="A15" s="156" t="n">
        <v>46120</v>
      </c>
      <c r="B15" s="112" t="inlineStr">
        <is>
          <t>朗瑞1-7</t>
        </is>
      </c>
      <c r="C15" s="112" t="n"/>
      <c r="D15" s="112" t="n">
        <v>850</v>
      </c>
      <c r="E15" s="572">
        <f>+E14+C15-D15</f>
        <v/>
      </c>
      <c r="G15" s="0" t="inlineStr">
        <is>
          <t>ok</t>
        </is>
      </c>
      <c r="I15" s="309" t="inlineStr">
        <is>
          <t>ABS策略</t>
        </is>
      </c>
      <c r="J15" s="310" t="n">
        <v>0.5</v>
      </c>
      <c r="K15" s="0" t="inlineStr">
        <is>
          <t>固收</t>
        </is>
      </c>
      <c r="L15" s="0" t="inlineStr">
        <is>
          <t>元康28</t>
        </is>
      </c>
      <c r="M15" s="0" t="n">
        <v>300</v>
      </c>
      <c r="N15" s="0" t="n">
        <v>0</v>
      </c>
      <c r="O15" s="0">
        <f>M15+N15</f>
        <v/>
      </c>
      <c r="P15" s="146">
        <f>O15/$O$14</f>
        <v/>
      </c>
      <c r="Q15" s="375" t="n">
        <v>0.01</v>
      </c>
      <c r="R15" s="146" t="n">
        <v>0.06</v>
      </c>
      <c r="T15" s="0">
        <f>O15+S15</f>
        <v/>
      </c>
      <c r="U15" s="575">
        <f>T15/$T$14</f>
        <v/>
      </c>
      <c r="V15" s="375" t="n">
        <v>0.01</v>
      </c>
      <c r="W15" s="146" t="n">
        <v>0.06</v>
      </c>
    </row>
    <row r="16">
      <c r="A16" s="156" t="n">
        <v>46120</v>
      </c>
      <c r="B16" s="112" t="inlineStr">
        <is>
          <t>鹏雅120</t>
        </is>
      </c>
      <c r="C16" s="112" t="n"/>
      <c r="D16" s="112">
        <f>N20</f>
        <v/>
      </c>
      <c r="E16" s="572">
        <f>+E15+C16-D16</f>
        <v/>
      </c>
      <c r="G16" s="0" t="inlineStr">
        <is>
          <t>ok</t>
        </is>
      </c>
      <c r="I16" s="309" t="inlineStr">
        <is>
          <t>全天候策略</t>
        </is>
      </c>
      <c r="J16" s="310" t="n">
        <v>0.15</v>
      </c>
      <c r="K16" s="0" t="inlineStr">
        <is>
          <t>固收</t>
        </is>
      </c>
      <c r="L16" s="0" t="inlineStr">
        <is>
          <t>朗瑞1-5</t>
        </is>
      </c>
      <c r="M16" s="0" t="n">
        <v>300</v>
      </c>
      <c r="O16" s="0">
        <f>M16+N16</f>
        <v/>
      </c>
      <c r="P16" s="146">
        <f>O16/$O$14</f>
        <v/>
      </c>
      <c r="Q16" s="375" t="n">
        <v>0.01</v>
      </c>
      <c r="R16" s="146" t="n">
        <v>0.06</v>
      </c>
      <c r="S16" s="0">
        <f>-200</f>
        <v/>
      </c>
      <c r="T16" s="0">
        <f>O16+S16</f>
        <v/>
      </c>
      <c r="U16" s="575">
        <f>T16/$T$14</f>
        <v/>
      </c>
      <c r="V16" s="375" t="n">
        <v>0.01</v>
      </c>
      <c r="W16" s="146" t="n">
        <v>0.06</v>
      </c>
    </row>
    <row r="17">
      <c r="A17" s="156" t="n">
        <v>46120</v>
      </c>
      <c r="B17" s="112" t="inlineStr">
        <is>
          <t>全景1号</t>
        </is>
      </c>
      <c r="C17" s="112" t="n"/>
      <c r="D17" s="112" t="n">
        <v>1400</v>
      </c>
      <c r="E17" s="572">
        <f>+E16+C17-D17</f>
        <v/>
      </c>
      <c r="G17" s="0" t="inlineStr">
        <is>
          <t>ok</t>
        </is>
      </c>
      <c r="I17" s="309" t="inlineStr">
        <is>
          <t>期权策略</t>
        </is>
      </c>
      <c r="J17" s="310" t="n">
        <v>0</v>
      </c>
      <c r="K17" s="0" t="inlineStr">
        <is>
          <t>固收</t>
        </is>
      </c>
      <c r="L17" s="0" t="inlineStr">
        <is>
          <t>朗瑞1-7</t>
        </is>
      </c>
      <c r="N17" s="0" t="n">
        <v>850</v>
      </c>
      <c r="O17" s="0">
        <f>M17+N17</f>
        <v/>
      </c>
      <c r="P17" s="146">
        <f>O17/$O$14</f>
        <v/>
      </c>
      <c r="Q17" s="375" t="n">
        <v>0.01</v>
      </c>
      <c r="R17" s="146" t="n">
        <v>0.06</v>
      </c>
      <c r="T17" s="0">
        <f>O17+S17</f>
        <v/>
      </c>
      <c r="U17" s="575">
        <f>T17/$T$14</f>
        <v/>
      </c>
      <c r="V17" s="375" t="n">
        <v>0.01</v>
      </c>
      <c r="W17" s="146" t="n">
        <v>0.06</v>
      </c>
    </row>
    <row r="18">
      <c r="A18" s="156" t="n"/>
      <c r="B18" s="112" t="n"/>
      <c r="C18" s="112" t="n"/>
      <c r="D18" s="112" t="n"/>
      <c r="E18" s="572">
        <f>+E17+C18-D18</f>
        <v/>
      </c>
      <c r="G18" s="0" t="inlineStr">
        <is>
          <t>ok</t>
        </is>
      </c>
      <c r="I18" s="309" t="inlineStr">
        <is>
          <t>REITs策略</t>
        </is>
      </c>
      <c r="J18" s="310" t="n">
        <v>0.1</v>
      </c>
      <c r="K18" s="0" t="inlineStr">
        <is>
          <t>衍生品</t>
        </is>
      </c>
      <c r="L18" s="0" t="inlineStr">
        <is>
          <t>全景1号</t>
        </is>
      </c>
      <c r="M18" s="0" t="n">
        <v>275</v>
      </c>
      <c r="N18" s="0" t="n">
        <v>1400</v>
      </c>
      <c r="O18" s="0">
        <f>M18+N18</f>
        <v/>
      </c>
      <c r="P18" s="146">
        <f>O18/$O$14</f>
        <v/>
      </c>
      <c r="Q18" s="375" t="n">
        <v>0.22</v>
      </c>
      <c r="R18" s="146" t="n">
        <v>0.3</v>
      </c>
      <c r="T18" s="0">
        <f>O18+S18</f>
        <v/>
      </c>
      <c r="U18" s="575">
        <f>T18/$T$14</f>
        <v/>
      </c>
      <c r="V18" s="375" t="n">
        <v>0.22</v>
      </c>
      <c r="W18" s="146" t="n">
        <v>0.3</v>
      </c>
    </row>
    <row r="19">
      <c r="A19" s="156" t="n">
        <v>46121</v>
      </c>
      <c r="B19" s="112" t="inlineStr">
        <is>
          <t>可交债</t>
        </is>
      </c>
      <c r="C19" s="112" t="n"/>
      <c r="D19" s="112" t="n">
        <v>2200</v>
      </c>
      <c r="E19" s="572">
        <f>+E18+C19-D19</f>
        <v/>
      </c>
      <c r="I19" s="309" t="inlineStr">
        <is>
          <t>ABS-NPL策略</t>
        </is>
      </c>
      <c r="J19" s="310" t="n">
        <v>0.2</v>
      </c>
      <c r="K19" s="0" t="inlineStr">
        <is>
          <t>固收</t>
        </is>
      </c>
      <c r="L19" s="0" t="inlineStr">
        <is>
          <t>外贸元康1</t>
        </is>
      </c>
      <c r="M19" s="0" t="n">
        <v>225</v>
      </c>
      <c r="N19" s="0" t="n">
        <v>2250</v>
      </c>
      <c r="O19" s="0">
        <f>M19+N19</f>
        <v/>
      </c>
      <c r="P19" s="146">
        <f>O19/$O$14</f>
        <v/>
      </c>
      <c r="Q19" s="375" t="n">
        <v>0.01</v>
      </c>
      <c r="R19" s="150" t="n">
        <v>0.055</v>
      </c>
      <c r="T19" s="0">
        <f>O19+S19</f>
        <v/>
      </c>
      <c r="U19" s="575">
        <f>T19/$T$14</f>
        <v/>
      </c>
      <c r="V19" s="375" t="n">
        <v>0.01</v>
      </c>
      <c r="W19" s="150" t="n">
        <v>0.055</v>
      </c>
    </row>
    <row r="20">
      <c r="A20" s="156" t="n">
        <v>46122</v>
      </c>
      <c r="B20" s="112" t="inlineStr">
        <is>
          <t>外贸元康1</t>
        </is>
      </c>
      <c r="C20" s="112" t="n"/>
      <c r="D20" s="112" t="n">
        <v>2250</v>
      </c>
      <c r="E20" s="572">
        <f>+E19+C20-D20</f>
        <v/>
      </c>
      <c r="I20" s="309" t="inlineStr">
        <is>
          <t>大类资产指数期权</t>
        </is>
      </c>
      <c r="J20" s="310" t="n">
        <v>0.05</v>
      </c>
      <c r="K20" s="0" t="inlineStr">
        <is>
          <t>固收</t>
        </is>
      </c>
      <c r="L20" s="0" t="inlineStr">
        <is>
          <t>鹏雅120</t>
        </is>
      </c>
      <c r="M20" s="0" t="n">
        <v>300</v>
      </c>
      <c r="N20" s="0" t="n">
        <v>2364</v>
      </c>
      <c r="O20" s="0">
        <f>M20+N20</f>
        <v/>
      </c>
      <c r="P20" s="146">
        <f>O20/$O$14</f>
        <v/>
      </c>
      <c r="Q20" s="375" t="n">
        <v>0.01</v>
      </c>
      <c r="R20" s="146" t="n">
        <v>0.1</v>
      </c>
      <c r="T20" s="0">
        <f>O20+S20</f>
        <v/>
      </c>
      <c r="U20" s="575">
        <f>T20/$T$14</f>
        <v/>
      </c>
      <c r="V20" s="375" t="n">
        <v>0.01</v>
      </c>
      <c r="W20" s="146" t="n">
        <v>0.1</v>
      </c>
    </row>
    <row r="21">
      <c r="A21" s="156" t="n">
        <v>46122</v>
      </c>
      <c r="B21" s="112" t="inlineStr">
        <is>
          <t>衡景1号</t>
        </is>
      </c>
      <c r="C21" s="112" t="n"/>
      <c r="D21" s="112" t="n">
        <v>100</v>
      </c>
      <c r="E21" s="572">
        <f>+E20+C21-D21</f>
        <v/>
      </c>
      <c r="I21" s="376" t="n"/>
      <c r="J21" s="377" t="n"/>
      <c r="K21" s="0" t="inlineStr">
        <is>
          <t>衍生品</t>
        </is>
      </c>
      <c r="L21" s="0" t="inlineStr">
        <is>
          <t>大类期权</t>
        </is>
      </c>
      <c r="P21" s="146">
        <f>O21/$O$14</f>
        <v/>
      </c>
      <c r="Q21" s="375">
        <f>25*3.5%</f>
        <v/>
      </c>
      <c r="R21" s="146" t="n">
        <v>2</v>
      </c>
      <c r="S21" s="0" t="n">
        <v>0</v>
      </c>
      <c r="T21" s="0">
        <f>O21+S21</f>
        <v/>
      </c>
      <c r="U21" s="575">
        <f>T21/$T$14</f>
        <v/>
      </c>
      <c r="V21" s="375">
        <f>25*3.5%</f>
        <v/>
      </c>
      <c r="W21" s="146" t="n">
        <v>2</v>
      </c>
    </row>
    <row r="22">
      <c r="A22" s="156" t="n">
        <v>46122</v>
      </c>
      <c r="B22" s="112" t="inlineStr">
        <is>
          <t>申购</t>
        </is>
      </c>
      <c r="C22" s="112" t="n">
        <v>120</v>
      </c>
      <c r="D22" s="112" t="n"/>
      <c r="E22" s="572">
        <f>+E21+C22-D22</f>
        <v/>
      </c>
      <c r="F22" s="0" t="inlineStr">
        <is>
          <t>后续调整仓位，500w到reits战配，1000w到持有型不动产31号</t>
        </is>
      </c>
      <c r="K22" s="0" t="inlineStr">
        <is>
          <t>固收</t>
        </is>
      </c>
      <c r="L22" s="0" t="inlineStr">
        <is>
          <t>可交债</t>
        </is>
      </c>
      <c r="N22" s="0" t="n">
        <v>2200</v>
      </c>
      <c r="O22" s="0">
        <f>M22+N22</f>
        <v/>
      </c>
      <c r="P22" s="146">
        <f>O22/$O$14</f>
        <v/>
      </c>
      <c r="Q22" s="375" t="n">
        <v>0</v>
      </c>
      <c r="R22" s="146" t="n">
        <v>0.6</v>
      </c>
      <c r="S22" s="0">
        <f>-2200+1000</f>
        <v/>
      </c>
      <c r="T22" s="0" t="n">
        <v>0</v>
      </c>
      <c r="U22" s="575">
        <f>T22/$T$14</f>
        <v/>
      </c>
      <c r="V22" s="375" t="n"/>
      <c r="W22" s="146" t="n"/>
    </row>
    <row r="23">
      <c r="A23" s="156" t="n">
        <v>46122</v>
      </c>
      <c r="B23" s="112" t="inlineStr">
        <is>
          <t>朗瑞1-8</t>
        </is>
      </c>
      <c r="C23" s="112" t="n"/>
      <c r="D23" s="112" t="n">
        <v>30</v>
      </c>
      <c r="E23" s="572">
        <f>+E22+C23-D23</f>
        <v/>
      </c>
      <c r="K23" s="0" t="inlineStr">
        <is>
          <t>固收</t>
        </is>
      </c>
      <c r="L23" s="0" t="inlineStr">
        <is>
          <t>通合新能源</t>
        </is>
      </c>
      <c r="N23" s="0" t="n">
        <v>600</v>
      </c>
      <c r="O23" s="0">
        <f>M23+N23</f>
        <v/>
      </c>
      <c r="P23" s="146">
        <f>O23/$O$14</f>
        <v/>
      </c>
      <c r="Q23" s="146" t="n">
        <v>0.01</v>
      </c>
      <c r="R23" s="150" t="n">
        <v>0.073</v>
      </c>
      <c r="T23" s="0">
        <f>O23+S23</f>
        <v/>
      </c>
      <c r="U23" s="575">
        <f>T23/$T$14</f>
        <v/>
      </c>
      <c r="V23" s="146" t="n">
        <v>0.01</v>
      </c>
      <c r="W23" s="150" t="n">
        <v>0.073</v>
      </c>
    </row>
    <row r="24">
      <c r="A24" s="156" t="n">
        <v>46126</v>
      </c>
      <c r="B24" s="112" t="inlineStr">
        <is>
          <t>通合新能源</t>
        </is>
      </c>
      <c r="C24" s="112" t="n"/>
      <c r="D24" s="112" t="n">
        <v>600</v>
      </c>
      <c r="E24" s="572">
        <f>+E23+C24-D24</f>
        <v/>
      </c>
      <c r="K24" s="0" t="inlineStr">
        <is>
          <t>固收</t>
        </is>
      </c>
      <c r="L24" s="0" t="inlineStr">
        <is>
          <t>朗瑞1-8</t>
        </is>
      </c>
      <c r="N24" s="0" t="n">
        <v>30</v>
      </c>
      <c r="O24" s="0">
        <f>M24+N24</f>
        <v/>
      </c>
      <c r="P24" s="146">
        <f>O24/$O$14</f>
        <v/>
      </c>
      <c r="Q24" s="375" t="n">
        <v>0.01</v>
      </c>
      <c r="R24" s="146" t="n">
        <v>0.1</v>
      </c>
      <c r="S24" s="0" t="n">
        <v>600</v>
      </c>
      <c r="T24" s="0">
        <f>O24+S24</f>
        <v/>
      </c>
      <c r="U24" s="575">
        <f>T24/$T$14</f>
        <v/>
      </c>
      <c r="V24" s="375" t="n">
        <v>0.01</v>
      </c>
      <c r="W24" s="146" t="n">
        <v>0.1</v>
      </c>
    </row>
    <row r="25">
      <c r="A25" s="156" t="n"/>
      <c r="B25" s="112" t="n"/>
      <c r="C25" s="112" t="n"/>
      <c r="D25" s="112" t="n"/>
      <c r="E25" s="572">
        <f>+E24+C25-D25</f>
        <v/>
      </c>
      <c r="K25" s="0" t="inlineStr">
        <is>
          <t>衍生品</t>
        </is>
      </c>
      <c r="L25" s="0" t="inlineStr">
        <is>
          <t>衡景1号</t>
        </is>
      </c>
      <c r="N25" s="0" t="n">
        <v>100</v>
      </c>
      <c r="O25" s="0">
        <f>M25+N25</f>
        <v/>
      </c>
      <c r="P25" s="146">
        <f>O25/$O$14</f>
        <v/>
      </c>
      <c r="Q25" s="375" t="n">
        <v>0.05</v>
      </c>
      <c r="R25" s="146" t="n">
        <v>0.1</v>
      </c>
      <c r="T25" s="0">
        <f>O25+S25</f>
        <v/>
      </c>
      <c r="U25" s="575">
        <f>T25/$T$14</f>
        <v/>
      </c>
      <c r="V25" s="375" t="n">
        <v>0.05</v>
      </c>
      <c r="W25" s="146" t="n">
        <v>0.1</v>
      </c>
    </row>
    <row r="26">
      <c r="A26" s="156" t="n">
        <v>46132</v>
      </c>
      <c r="B26" s="112" t="inlineStr">
        <is>
          <t>可交债</t>
        </is>
      </c>
      <c r="C26" s="112" t="n">
        <v>2824.88</v>
      </c>
      <c r="D26" s="112" t="n"/>
      <c r="E26" s="572">
        <f>+E25+C26-D26</f>
        <v/>
      </c>
      <c r="L26" s="0" t="inlineStr">
        <is>
          <t>公募reits</t>
        </is>
      </c>
      <c r="S26" s="0" t="n">
        <v>370</v>
      </c>
      <c r="T26" s="0">
        <f>O26+S26</f>
        <v/>
      </c>
      <c r="U26" s="575">
        <f>T26/$T$14</f>
        <v/>
      </c>
      <c r="V26" s="375" t="n">
        <v>0.05</v>
      </c>
      <c r="W26" s="146" t="n">
        <v>0.1</v>
      </c>
    </row>
    <row r="27">
      <c r="A27" s="156" t="n">
        <v>46133</v>
      </c>
      <c r="B27" s="112" t="inlineStr">
        <is>
          <t>朗瑞1-8</t>
        </is>
      </c>
      <c r="C27" s="112" t="n"/>
      <c r="D27" s="112" t="n">
        <v>600</v>
      </c>
      <c r="E27" s="572">
        <f>+E26+C27-D27</f>
        <v/>
      </c>
      <c r="F27" s="562" t="inlineStr">
        <is>
          <t>已发</t>
        </is>
      </c>
      <c r="L27" s="0" t="inlineStr">
        <is>
          <t>皓月1号</t>
        </is>
      </c>
      <c r="S27" s="0" t="n">
        <v>1000</v>
      </c>
      <c r="T27" s="0">
        <f>O27+S27</f>
        <v/>
      </c>
      <c r="U27" s="575">
        <f>T27/$T$14</f>
        <v/>
      </c>
      <c r="V27" s="146" t="n">
        <v>0.25</v>
      </c>
      <c r="W27" s="146" t="n">
        <v>0.3</v>
      </c>
    </row>
    <row r="28">
      <c r="A28" s="156" t="n">
        <v>46136</v>
      </c>
      <c r="B28" s="112" t="inlineStr">
        <is>
          <t>朗瑞1-5赎回</t>
        </is>
      </c>
      <c r="C28" s="112" t="n">
        <v>200</v>
      </c>
      <c r="D28" s="112" t="n"/>
      <c r="E28" s="572">
        <f>+E27+C28-D28</f>
        <v/>
      </c>
      <c r="F28" s="562" t="inlineStr">
        <is>
          <t>已发</t>
        </is>
      </c>
      <c r="L28" s="0" t="inlineStr">
        <is>
          <t>现金</t>
        </is>
      </c>
      <c r="M28" s="0" t="n">
        <v>100</v>
      </c>
      <c r="N28" s="577">
        <f>E12+N14-SUM(N15:N25)</f>
        <v/>
      </c>
      <c r="O28" s="577">
        <f>N28</f>
        <v/>
      </c>
      <c r="P28" s="146">
        <f>O28/$O$14</f>
        <v/>
      </c>
      <c r="Q28" s="146" t="n">
        <v>0</v>
      </c>
      <c r="R28" s="146" t="n">
        <v>0</v>
      </c>
      <c r="T28" s="0" t="n">
        <v>1147</v>
      </c>
      <c r="U28" s="375">
        <f>T28/$T$14</f>
        <v/>
      </c>
      <c r="V28" s="146" t="n">
        <v>0</v>
      </c>
      <c r="W28" s="146" t="n">
        <v>0</v>
      </c>
    </row>
    <row r="29">
      <c r="A29" s="156" t="n">
        <v>46136</v>
      </c>
      <c r="B29" s="112" t="inlineStr">
        <is>
          <t>蜀道可交债</t>
        </is>
      </c>
      <c r="C29" s="112" t="n"/>
      <c r="D29" s="112" t="n">
        <v>1000</v>
      </c>
      <c r="E29" s="572">
        <f>+E28+C29-D29</f>
        <v/>
      </c>
      <c r="Q29" s="464">
        <f>SUMPRODUCT(Q15:Q28,P15:P28)</f>
        <v/>
      </c>
      <c r="R29" s="464">
        <f>SUMPRODUCT(R15:R28,P15:P28)</f>
        <v/>
      </c>
      <c r="V29" s="464">
        <f>SUMPRODUCT(V15:V28,U15:U28)</f>
        <v/>
      </c>
      <c r="W29" s="464">
        <f>SUMPRODUCT(W15:W28,U15:U28)</f>
        <v/>
      </c>
    </row>
    <row r="30">
      <c r="A30" s="156" t="n"/>
      <c r="B30" s="112" t="n"/>
      <c r="C30" s="112" t="n"/>
      <c r="D30" s="112" t="n"/>
      <c r="E30" s="572">
        <f>+E29+C30-D30</f>
        <v/>
      </c>
      <c r="O30" s="0" t="inlineStr">
        <is>
          <t>固收</t>
        </is>
      </c>
      <c r="P30" s="575">
        <f>SUMIFS($O$15:$O$25,$K$15:$K$25,O30)/SUM($O$15:$O$25)</f>
        <v/>
      </c>
      <c r="T30" s="0" t="inlineStr">
        <is>
          <t>固收</t>
        </is>
      </c>
      <c r="U30" s="146">
        <f>(U15+U16+U17+U19+U20+U23+U24+U22)/SUM($U$15:$U$27)</f>
        <v/>
      </c>
    </row>
    <row r="31">
      <c r="A31" s="156" t="n">
        <v>46149</v>
      </c>
      <c r="B31" s="112" t="inlineStr">
        <is>
          <t>瑞景3号</t>
        </is>
      </c>
      <c r="C31" s="112" t="n"/>
      <c r="D31" s="112" t="n">
        <v>370</v>
      </c>
      <c r="E31" s="572">
        <f>+E30+C31-D31</f>
        <v/>
      </c>
      <c r="F31" s="562" t="inlineStr">
        <is>
          <t>已发</t>
        </is>
      </c>
      <c r="O31" s="0" t="inlineStr">
        <is>
          <t>权益</t>
        </is>
      </c>
      <c r="P31" s="575">
        <f>SUMIFS($O$15:$O$25,$K$15:$K$25,O31)/SUM($O$15:$O$25)</f>
        <v/>
      </c>
      <c r="T31" s="0" t="inlineStr">
        <is>
          <t>权益</t>
        </is>
      </c>
      <c r="U31" s="375">
        <f>(U26+U27)/SUM(U15:U27)</f>
        <v/>
      </c>
    </row>
    <row r="32">
      <c r="A32" s="156" t="n">
        <v>46150</v>
      </c>
      <c r="B32" s="112" t="inlineStr">
        <is>
          <t>皓月</t>
        </is>
      </c>
      <c r="C32" s="112" t="n"/>
      <c r="D32" s="112" t="n">
        <v>1000</v>
      </c>
      <c r="E32" s="572">
        <f>+E31+C32-D32</f>
        <v/>
      </c>
      <c r="F32" s="562" t="inlineStr">
        <is>
          <t>已发</t>
        </is>
      </c>
      <c r="O32" s="0" t="inlineStr">
        <is>
          <t>衍生品</t>
        </is>
      </c>
      <c r="P32" s="575">
        <f>SUMIFS($O$15:$O$25,$K$15:$K$25,O32)/SUM($O$15:$O$25)</f>
        <v/>
      </c>
      <c r="T32" s="0" t="inlineStr">
        <is>
          <t>衍生品</t>
        </is>
      </c>
      <c r="U32" s="146">
        <f>(U18+U21+U25)/SUM(U15:U27)</f>
        <v/>
      </c>
    </row>
    <row r="33">
      <c r="A33" s="156" t="n">
        <v>46150</v>
      </c>
      <c r="B33" s="112" t="inlineStr">
        <is>
          <t>蜀道EB</t>
        </is>
      </c>
      <c r="C33" s="112">
        <f>10*105.8</f>
        <v/>
      </c>
      <c r="D33" s="112" t="n"/>
      <c r="E33" s="572">
        <f>+E32+C33-D33</f>
        <v/>
      </c>
    </row>
    <row r="34">
      <c r="E34" s="563">
        <f>+E33+C34-D34</f>
        <v/>
      </c>
    </row>
    <row r="35">
      <c r="B35" s="112" t="inlineStr">
        <is>
          <t>中金逆回购</t>
        </is>
      </c>
      <c r="D35" s="0" t="n">
        <v>1000</v>
      </c>
      <c r="E35" s="563">
        <f>+E34+C35-D35</f>
        <v/>
      </c>
    </row>
    <row r="36">
      <c r="E36" s="563">
        <f>+E35+C36-D36</f>
        <v/>
      </c>
    </row>
    <row r="37">
      <c r="E37" s="563">
        <f>+E36+C37-D37</f>
        <v/>
      </c>
    </row>
    <row r="38">
      <c r="E38" s="563">
        <f>+E37+C38-D38</f>
        <v/>
      </c>
    </row>
    <row r="39">
      <c r="E39" s="563">
        <f>+E38+C39-D39</f>
        <v/>
      </c>
    </row>
    <row r="40">
      <c r="E40" s="563">
        <f>+E39+C40-D40</f>
        <v/>
      </c>
    </row>
    <row r="41">
      <c r="E41" s="563">
        <f>+E40+C41-D41</f>
        <v/>
      </c>
    </row>
    <row r="42">
      <c r="E42" s="563">
        <f>+E41+C42-D42</f>
        <v/>
      </c>
    </row>
    <row r="43">
      <c r="E43" s="563">
        <f>+E42+C43-D43</f>
        <v/>
      </c>
    </row>
    <row r="44">
      <c r="E44" s="563">
        <f>+E43+C44-D44</f>
        <v/>
      </c>
    </row>
  </sheetData>
  <conditionalFormatting sqref="E1:E1048576">
    <cfRule type="cellIs" priority="1" operator="lessThan" dxfId="0">
      <formula>0</formula>
    </cfRule>
  </conditionalFormatting>
  <pageMargins left="0.7" right="0.7" top="0.75" bottom="0.75" header="0.3" footer="0.3"/>
</worksheet>
</file>

<file path=xl/worksheets/sheet11.xml><?xml version="1.0" encoding="utf-8"?>
<worksheet xmlns="http://schemas.openxmlformats.org/spreadsheetml/2006/main">
  <sheetPr codeName="Sheet5">
    <outlinePr summaryBelow="1" summaryRight="1"/>
    <pageSetUpPr/>
  </sheetPr>
  <dimension ref="A1:AH104"/>
  <sheetViews>
    <sheetView workbookViewId="0">
      <pane ySplit="2" topLeftCell="A73" activePane="bottomLeft" state="frozen"/>
      <selection activeCell="J14" sqref="J14"/>
      <selection pane="bottomLeft" activeCell="E1" sqref="E1:E1048576"/>
    </sheetView>
  </sheetViews>
  <sheetFormatPr baseColWidth="8" defaultRowHeight="16.5"/>
  <cols>
    <col width="11.125" bestFit="1" customWidth="1" style="4" min="1" max="1"/>
    <col width="9.5" customWidth="1" style="326" min="2" max="2"/>
    <col width="9.625" customWidth="1" style="326" min="3" max="3"/>
    <col width="9.25" customWidth="1" style="326" min="4" max="4"/>
    <col width="8.75" bestFit="1" customWidth="1" style="563" min="5" max="5"/>
    <col width="8.75" customWidth="1" style="563" min="6" max="6"/>
    <col width="12.5" bestFit="1" customWidth="1" style="326" min="9" max="9"/>
    <col width="11.375" customWidth="1" style="564" min="10" max="10"/>
    <col width="12.5" bestFit="1" customWidth="1" style="565" min="11" max="11"/>
    <col width="12.375" customWidth="1" style="565" min="12" max="12"/>
    <col width="9.25" bestFit="1" customWidth="1" style="564" min="13" max="13"/>
    <col width="10" customWidth="1" style="326" min="14" max="14"/>
    <col hidden="1" style="326" min="17" max="18"/>
    <col hidden="1" width="11" customWidth="1" style="326" min="19" max="19"/>
    <col width="11.125" bestFit="1" customWidth="1" style="326" min="20" max="20"/>
    <col width="11.125" bestFit="1" customWidth="1" style="326" min="23" max="23"/>
    <col width="11.125" bestFit="1" customWidth="1" style="326" min="25" max="25"/>
    <col width="9.625" bestFit="1" customWidth="1" style="326" min="26" max="26"/>
    <col width="11.125" bestFit="1" customWidth="1" style="326" min="27" max="27"/>
    <col width="9.625" bestFit="1" customWidth="1" style="326" min="28" max="28"/>
    <col width="15" bestFit="1" customWidth="1" style="326" min="29" max="29"/>
    <col width="9.75" bestFit="1" customWidth="1" style="326" min="30" max="30"/>
    <col width="30.875" customWidth="1" style="326" min="31" max="31"/>
  </cols>
  <sheetData>
    <row r="1" ht="14.1" customHeight="1" s="326">
      <c r="A1" s="10" t="n"/>
      <c r="B1" s="10" t="n"/>
      <c r="C1" s="10" t="n"/>
      <c r="D1" s="10" t="n"/>
      <c r="E1" s="10" t="n"/>
      <c r="F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v>192</v>
      </c>
    </row>
    <row r="4">
      <c r="A4" s="156" t="n"/>
      <c r="B4" s="112" t="n"/>
      <c r="C4" s="112" t="n"/>
      <c r="D4" s="112" t="n"/>
      <c r="E4" s="572">
        <f>+E3+C4-D4</f>
        <v/>
      </c>
    </row>
    <row r="5">
      <c r="A5" s="156" t="n"/>
      <c r="B5" s="112" t="n"/>
      <c r="C5" s="112" t="n"/>
      <c r="D5" s="112" t="n"/>
      <c r="E5" s="572">
        <f>+E4+C5-D5</f>
        <v/>
      </c>
    </row>
    <row r="6">
      <c r="A6" s="156" t="n"/>
      <c r="B6" s="112" t="n"/>
      <c r="C6" s="112" t="n"/>
      <c r="D6" s="112" t="n"/>
      <c r="E6" s="572">
        <f>+E5+C6-D6</f>
        <v/>
      </c>
    </row>
    <row r="7">
      <c r="A7" s="156" t="n"/>
      <c r="B7" s="112" t="n"/>
      <c r="C7" s="112" t="n"/>
      <c r="D7" s="112" t="n"/>
      <c r="E7" s="572">
        <f>+E6+C7-D7</f>
        <v/>
      </c>
      <c r="H7" s="565" t="inlineStr">
        <is>
          <t>1月份排券计划</t>
        </is>
      </c>
      <c r="I7" s="565" t="n"/>
      <c r="J7" s="565" t="n"/>
      <c r="K7" s="564" t="n"/>
      <c r="L7" s="0" t="n"/>
      <c r="M7" s="0" t="n"/>
      <c r="T7" s="117" t="n">
        <v>46036</v>
      </c>
      <c r="AA7" s="164" t="n"/>
    </row>
    <row r="8">
      <c r="A8" s="156" t="n">
        <v>46030</v>
      </c>
      <c r="B8" s="112" t="inlineStr">
        <is>
          <t>回款</t>
        </is>
      </c>
      <c r="C8" s="112" t="n">
        <v>7.56</v>
      </c>
      <c r="D8" s="112" t="n"/>
      <c r="E8" s="572">
        <f>+E7+C8-D8</f>
        <v/>
      </c>
      <c r="H8" s="0" t="inlineStr">
        <is>
          <t>证券名称</t>
        </is>
      </c>
      <c r="I8" s="565" t="inlineStr">
        <is>
          <t>代码</t>
        </is>
      </c>
      <c r="J8" s="565" t="inlineStr">
        <is>
          <t>票息（预期）</t>
        </is>
      </c>
      <c r="K8" s="564" t="inlineStr">
        <is>
          <t>数量</t>
        </is>
      </c>
      <c r="L8" s="0" t="inlineStr">
        <is>
          <t>净价</t>
        </is>
      </c>
      <c r="M8" s="0" t="inlineStr">
        <is>
          <t>全价</t>
        </is>
      </c>
      <c r="N8" s="0" t="inlineStr">
        <is>
          <t>规模</t>
        </is>
      </c>
      <c r="O8" s="0" t="inlineStr">
        <is>
          <t>交易日期</t>
        </is>
      </c>
      <c r="P8" s="0" t="inlineStr">
        <is>
          <t>后手收益率</t>
        </is>
      </c>
      <c r="Q8" s="0" t="inlineStr">
        <is>
          <t>上家</t>
        </is>
      </c>
      <c r="R8" s="0" t="inlineStr">
        <is>
          <t>过桥</t>
        </is>
      </c>
      <c r="S8" s="0" t="inlineStr">
        <is>
          <t>过桥费</t>
        </is>
      </c>
      <c r="T8" s="0" t="inlineStr">
        <is>
          <t>中债估值</t>
        </is>
      </c>
      <c r="U8" s="0" t="inlineStr">
        <is>
          <t>估值后手收益率</t>
        </is>
      </c>
      <c r="V8" s="0" t="inlineStr">
        <is>
          <t>最新评级</t>
        </is>
      </c>
      <c r="W8" s="0" t="inlineStr">
        <is>
          <t>上个付息日</t>
        </is>
      </c>
      <c r="X8" s="0" t="inlineStr">
        <is>
          <t>应计利息</t>
        </is>
      </c>
      <c r="Y8" s="0" t="inlineStr">
        <is>
          <t>起息日</t>
        </is>
      </c>
      <c r="Z8" s="0" t="inlineStr">
        <is>
          <t>本金开始摊还日</t>
        </is>
      </c>
      <c r="AA8" s="0" t="inlineStr">
        <is>
          <t>预计到期日</t>
        </is>
      </c>
      <c r="AB8" s="0" t="inlineStr">
        <is>
          <t>剩余面值</t>
        </is>
      </c>
      <c r="AC8" s="0" t="inlineStr">
        <is>
          <t>卖家交易员</t>
        </is>
      </c>
      <c r="AD8" s="0" t="inlineStr">
        <is>
          <t>买家交易员</t>
        </is>
      </c>
      <c r="AE8" s="0" t="inlineStr">
        <is>
          <t>交易要素</t>
        </is>
      </c>
    </row>
    <row r="9">
      <c r="A9" s="156" t="n">
        <v>46034</v>
      </c>
      <c r="B9" s="112" t="inlineStr">
        <is>
          <t>回款</t>
        </is>
      </c>
      <c r="C9" s="112" t="n">
        <v>5.15</v>
      </c>
      <c r="D9" s="112" t="n"/>
      <c r="E9" s="572">
        <f>+E8+C9-D9</f>
        <v/>
      </c>
      <c r="H9" s="564" t="inlineStr">
        <is>
          <t>狮桥62A2</t>
        </is>
      </c>
      <c r="I9" s="0" t="inlineStr">
        <is>
          <t>500193.SZ</t>
        </is>
      </c>
      <c r="J9" s="464" t="n">
        <v>0.032</v>
      </c>
      <c r="K9" s="564" t="n">
        <v>600</v>
      </c>
      <c r="L9" s="564" t="n">
        <v>100.003</v>
      </c>
      <c r="M9" s="564">
        <f>L9+X9</f>
        <v/>
      </c>
      <c r="N9" s="564">
        <f>+M9*K9/100</f>
        <v/>
      </c>
      <c r="O9" s="117" t="n">
        <v>46041</v>
      </c>
      <c r="P9" s="150" t="n">
        <v>0.032</v>
      </c>
      <c r="Q9" s="0" t="inlineStr">
        <is>
          <t>渣打</t>
        </is>
      </c>
      <c r="R9" s="0" t="inlineStr">
        <is>
          <t>中信</t>
        </is>
      </c>
      <c r="S9" s="0" t="n">
        <v>0.003</v>
      </c>
      <c r="T9" s="0" t="n">
        <v>100.079</v>
      </c>
      <c r="U9" s="150" t="n">
        <v>0.031967</v>
      </c>
      <c r="V9" s="0" t="inlineStr">
        <is>
          <t>AA+</t>
        </is>
      </c>
      <c r="W9" s="1" t="n">
        <v>45996</v>
      </c>
      <c r="X9" s="586">
        <f>+J9*(O9-W9+1)/365*100</f>
        <v/>
      </c>
      <c r="Y9" s="1" t="n">
        <v>45996</v>
      </c>
      <c r="AA9" s="1" t="n">
        <v>46890</v>
      </c>
      <c r="AB9" s="0" t="n">
        <v>100</v>
      </c>
      <c r="AC9" s="0" t="inlineStr">
        <is>
          <t>渣打（）</t>
        </is>
      </c>
      <c r="AD9" s="0" t="inlineStr">
        <is>
          <t>苏信Z2501</t>
        </is>
      </c>
      <c r="AE9" s="0" t="inlineStr">
        <is>
          <t xml:space="preserve">狮桥62A2[500193.SZ]，600w，净价100.003，1月19日，中信证券 3004076439 to 苏信财富组合添利Z2501集合资金信托计划 徐健 qq455768073 邮箱xuj@trustsz.com </t>
        </is>
      </c>
    </row>
    <row r="10">
      <c r="A10" s="156" t="n"/>
      <c r="B10" s="112" t="n"/>
      <c r="C10" s="112" t="n"/>
      <c r="D10" s="112" t="n"/>
      <c r="E10" s="572" t="n">
        <v>215</v>
      </c>
      <c r="G10" s="0" t="inlineStr">
        <is>
          <t>A</t>
        </is>
      </c>
      <c r="H10" s="564" t="inlineStr">
        <is>
          <t>乐信12C</t>
        </is>
      </c>
      <c r="I10" s="0" t="inlineStr">
        <is>
          <t>500210.SZ</t>
        </is>
      </c>
      <c r="J10" s="464" t="n">
        <v>0.03</v>
      </c>
      <c r="K10" s="564" t="n">
        <v>1500</v>
      </c>
      <c r="L10" s="564" t="n">
        <v>100</v>
      </c>
      <c r="M10" s="564">
        <f>L10+X10</f>
        <v/>
      </c>
      <c r="N10" s="564">
        <f>+M10*K10/100</f>
        <v/>
      </c>
      <c r="O10" s="117" t="n">
        <v>46038</v>
      </c>
      <c r="P10" s="150" t="n">
        <v>0.03</v>
      </c>
      <c r="Q10" s="0" t="inlineStr">
        <is>
          <t>富民</t>
        </is>
      </c>
      <c r="R10" s="0" t="inlineStr">
        <is>
          <t>NA</t>
        </is>
      </c>
      <c r="T10" s="0" t="n">
        <v>99.991</v>
      </c>
      <c r="U10" s="150" t="n">
        <v>0.0304</v>
      </c>
      <c r="V10" s="0" t="inlineStr">
        <is>
          <t>A</t>
        </is>
      </c>
      <c r="W10" s="1" t="n">
        <v>46003</v>
      </c>
      <c r="X10" s="586">
        <f>+J10*(O10-W10+1)/365*100</f>
        <v/>
      </c>
      <c r="Y10" s="1" t="n">
        <v>46003</v>
      </c>
      <c r="AA10" s="1" t="n">
        <v>46549</v>
      </c>
      <c r="AB10" s="0" t="n">
        <v>100</v>
      </c>
      <c r="AC10" s="0" t="inlineStr">
        <is>
          <t>富民（）</t>
        </is>
      </c>
      <c r="AD10" s="0" t="inlineStr">
        <is>
          <t>苏信Z2501</t>
        </is>
      </c>
      <c r="AE10" s="0" t="inlineStr">
        <is>
          <t>乐信12C[500210.SZ]，1500w，净价100，1月16日，富民王雪乔 to 苏信财富组合添利Z2501集合资金信托计划 徐健 qq455768073 邮箱xuj@trustsz.com</t>
        </is>
      </c>
    </row>
    <row r="11">
      <c r="A11" s="156" t="n">
        <v>46036</v>
      </c>
      <c r="B11" s="112" t="inlineStr">
        <is>
          <t>熠然02A3</t>
        </is>
      </c>
      <c r="C11" s="112" t="n"/>
      <c r="D11" s="112" t="n">
        <v>100</v>
      </c>
      <c r="E11" s="572">
        <f>+E10+C11-D11</f>
        <v/>
      </c>
      <c r="F11" s="563" t="inlineStr">
        <is>
          <t>熠安02A3[144651.SZ]，100w，净价100元，1月14日，国泰海通 樊文娟 to 苏信财富组合添利Z2501集合资金信托计划 徐健</t>
        </is>
      </c>
      <c r="G11" s="191" t="inlineStr">
        <is>
          <t>A-待定</t>
        </is>
      </c>
      <c r="H11" s="613" t="inlineStr">
        <is>
          <t>分期乐1号3期</t>
        </is>
      </c>
      <c r="I11" s="191" t="n"/>
      <c r="J11" s="193" t="n">
        <v>0.033</v>
      </c>
      <c r="K11" s="613" t="n">
        <v>1500</v>
      </c>
      <c r="L11" s="613" t="n">
        <v>100</v>
      </c>
      <c r="M11" s="613" t="n"/>
      <c r="N11" s="613">
        <f>+M11*K11/100</f>
        <v/>
      </c>
      <c r="O11" s="194" t="n">
        <v>46038</v>
      </c>
      <c r="P11" s="191" t="n"/>
      <c r="Q11" s="191" t="inlineStr">
        <is>
          <t>一级</t>
        </is>
      </c>
      <c r="R11" s="195" t="inlineStr">
        <is>
          <t>NA</t>
        </is>
      </c>
      <c r="X11" s="586" t="n"/>
      <c r="AE11" s="0">
        <f>H11&amp;"["&amp;I11&amp;"]，"&amp;K11&amp;"w，"&amp;L11&amp;"，"&amp;TEXT(O11,"m月d日")&amp;"，"&amp;AC11&amp;" to "&amp;AD11</f>
        <v/>
      </c>
    </row>
    <row r="12">
      <c r="A12" s="156" t="n"/>
      <c r="B12" s="112" t="n"/>
      <c r="C12" s="112" t="n"/>
      <c r="D12" s="112" t="n"/>
      <c r="E12" s="572">
        <f>+E11+C12-D12</f>
        <v/>
      </c>
      <c r="G12" s="0" t="inlineStr">
        <is>
          <t>A</t>
        </is>
      </c>
      <c r="H12" s="564" t="inlineStr">
        <is>
          <t>25乐信1C</t>
        </is>
      </c>
      <c r="I12" s="565" t="inlineStr">
        <is>
          <t>264610.SH</t>
        </is>
      </c>
      <c r="J12" s="464" t="n">
        <v>0.033</v>
      </c>
      <c r="K12" s="564" t="n">
        <v>600</v>
      </c>
      <c r="L12" s="564" t="n">
        <v>100.01</v>
      </c>
      <c r="M12" s="564">
        <f>L12+X12+S12</f>
        <v/>
      </c>
      <c r="N12" s="564">
        <f>+M12*K12/100</f>
        <v/>
      </c>
      <c r="O12" s="117" t="n">
        <v>46038</v>
      </c>
      <c r="P12" s="150" t="n">
        <v>0.033</v>
      </c>
      <c r="Q12" s="0" t="inlineStr">
        <is>
          <t>26号</t>
        </is>
      </c>
      <c r="R12" s="0" t="inlineStr">
        <is>
          <t>扬讯</t>
        </is>
      </c>
      <c r="S12" s="0" t="n">
        <v>0.01</v>
      </c>
      <c r="T12" s="0" t="n">
        <v>100.1481</v>
      </c>
      <c r="U12" s="150" t="n">
        <v>0.029642</v>
      </c>
      <c r="V12" s="0" t="inlineStr">
        <is>
          <t>A</t>
        </is>
      </c>
      <c r="W12" s="1" t="n">
        <v>46034</v>
      </c>
      <c r="X12" s="586">
        <f>+J12*(O12-W12+1)/365*100</f>
        <v/>
      </c>
      <c r="Y12" s="1" t="n">
        <v>45757</v>
      </c>
      <c r="AA12" s="1" t="n">
        <v>46213</v>
      </c>
      <c r="AB12" s="0" t="n">
        <v>100</v>
      </c>
      <c r="AC12" s="0" t="inlineStr">
        <is>
          <t>芜湖扬讯 Z11825</t>
        </is>
      </c>
      <c r="AD12" s="0" t="inlineStr">
        <is>
          <t>苏信Z2501</t>
        </is>
      </c>
      <c r="AE12" s="0">
        <f>H12&amp;"["&amp;I12&amp;"]，"&amp;K12&amp;"w，"&amp;L12&amp;"，"&amp;TEXT(O12,"m月d日")&amp;"，"&amp;AC12&amp;" to "&amp;AD12</f>
        <v/>
      </c>
    </row>
    <row r="13">
      <c r="A13" s="156" t="n">
        <v>46037</v>
      </c>
      <c r="B13" s="112" t="inlineStr">
        <is>
          <t>申购</t>
        </is>
      </c>
      <c r="C13" s="112" t="n">
        <v>8245</v>
      </c>
      <c r="D13" s="112" t="n"/>
      <c r="E13" s="572">
        <f>+E12+C13-D13</f>
        <v/>
      </c>
      <c r="H13" s="564" t="inlineStr">
        <is>
          <t>炽诚3A3</t>
        </is>
      </c>
      <c r="I13" s="565" t="inlineStr">
        <is>
          <t>266980.SH</t>
        </is>
      </c>
      <c r="J13" s="464" t="n">
        <v>0.036</v>
      </c>
      <c r="K13" s="564" t="n">
        <v>1000</v>
      </c>
      <c r="L13" s="564" t="n">
        <v>99.51000000000001</v>
      </c>
      <c r="M13" s="564">
        <f>L13+X13+S13</f>
        <v/>
      </c>
      <c r="N13" s="564">
        <f>+M13*K13/100</f>
        <v/>
      </c>
      <c r="O13" s="117" t="n">
        <v>46038</v>
      </c>
      <c r="P13" s="150" t="n">
        <v>0.039</v>
      </c>
      <c r="Q13" s="0" t="inlineStr">
        <is>
          <t>26号</t>
        </is>
      </c>
      <c r="R13" s="0" t="inlineStr">
        <is>
          <t>扬讯</t>
        </is>
      </c>
      <c r="S13" s="0" t="n">
        <v>0.01</v>
      </c>
      <c r="T13" s="0" t="n">
        <v>98.8973</v>
      </c>
      <c r="U13" s="150" t="n">
        <v>0.042447</v>
      </c>
      <c r="V13" s="0" t="inlineStr">
        <is>
          <t>AAA</t>
        </is>
      </c>
      <c r="W13" s="1" t="n">
        <v>45979</v>
      </c>
      <c r="X13" s="586">
        <f>+J13*(O13-W13+1)/365*100</f>
        <v/>
      </c>
      <c r="Y13" s="1" t="n">
        <v>45979</v>
      </c>
      <c r="AA13" s="1" t="n">
        <v>47072</v>
      </c>
      <c r="AB13" s="0" t="n">
        <v>100</v>
      </c>
      <c r="AC13" s="0" t="inlineStr">
        <is>
          <t>芜湖扬讯 Z11825</t>
        </is>
      </c>
      <c r="AD13" s="0" t="inlineStr">
        <is>
          <t>苏信Z2501</t>
        </is>
      </c>
      <c r="AE13" s="0">
        <f>H13&amp;"["&amp;I13&amp;"]，"&amp;K13&amp;"w，"&amp;L13&amp;"，"&amp;TEXT(O13,"m月d日")&amp;"，"&amp;AC13&amp;" to "&amp;AD13</f>
        <v/>
      </c>
    </row>
    <row r="14">
      <c r="A14" s="156" t="n">
        <v>46037</v>
      </c>
      <c r="B14" s="112" t="inlineStr">
        <is>
          <t>兑付</t>
        </is>
      </c>
      <c r="C14" s="112" t="n">
        <v>1006</v>
      </c>
      <c r="D14" s="112" t="n"/>
      <c r="E14" s="572">
        <f>+E13+C14-D14</f>
        <v/>
      </c>
      <c r="F14" s="581" t="inlineStr">
        <is>
          <t>注意买入的熠然02A3也会有兑付</t>
        </is>
      </c>
      <c r="H14" s="564" t="inlineStr">
        <is>
          <t>DY03优3</t>
        </is>
      </c>
      <c r="I14" s="565" t="inlineStr">
        <is>
          <t>266192.SH</t>
        </is>
      </c>
      <c r="J14" s="464" t="n">
        <v>0.041</v>
      </c>
      <c r="K14" s="564" t="n">
        <v>1000</v>
      </c>
      <c r="L14" s="564" t="n">
        <v>100.01</v>
      </c>
      <c r="M14" s="564">
        <f>L14+X14+S14</f>
        <v/>
      </c>
      <c r="N14" s="564">
        <f>+M14*K14/100</f>
        <v/>
      </c>
      <c r="O14" s="117" t="n">
        <v>46038</v>
      </c>
      <c r="P14" s="150" t="n">
        <v>0.041</v>
      </c>
      <c r="Q14" s="0" t="inlineStr">
        <is>
          <t>26号</t>
        </is>
      </c>
      <c r="R14" s="0" t="inlineStr">
        <is>
          <t>扬讯</t>
        </is>
      </c>
      <c r="S14" s="0" t="n">
        <v>0.01</v>
      </c>
      <c r="T14" s="0" t="n">
        <v>99.7106</v>
      </c>
      <c r="U14" s="150" t="n">
        <v>0.04162</v>
      </c>
      <c r="V14" s="0" t="inlineStr">
        <is>
          <t>AAA</t>
        </is>
      </c>
      <c r="W14" s="1" t="n">
        <v>46037</v>
      </c>
      <c r="X14" s="586">
        <f>+J14*(O14-W14+1)/365*100</f>
        <v/>
      </c>
      <c r="Y14" s="1" t="n">
        <v>45891</v>
      </c>
      <c r="AA14" s="1" t="n">
        <v>46980</v>
      </c>
      <c r="AB14" s="0" t="n">
        <v>100</v>
      </c>
      <c r="AC14" s="0" t="inlineStr">
        <is>
          <t>芜湖扬讯 Z11825</t>
        </is>
      </c>
      <c r="AD14" s="0" t="inlineStr">
        <is>
          <t>苏信Z2501</t>
        </is>
      </c>
      <c r="AE14" s="0">
        <f>H14&amp;"["&amp;I14&amp;"]，"&amp;K14&amp;"w，"&amp;L14&amp;"，"&amp;TEXT(O14,"m月d日")&amp;"，"&amp;AC14&amp;" to "&amp;AD14</f>
        <v/>
      </c>
    </row>
    <row r="15">
      <c r="A15" s="156" t="n">
        <v>46038</v>
      </c>
      <c r="B15" s="112" t="n"/>
      <c r="C15" s="112" t="n"/>
      <c r="D15" s="112" t="n">
        <v>4106</v>
      </c>
      <c r="E15" s="572">
        <f>+E14+C15-D15</f>
        <v/>
      </c>
      <c r="F15" s="563" t="inlineStr">
        <is>
          <t>已发</t>
        </is>
      </c>
      <c r="H15" s="564" t="n"/>
      <c r="I15" s="565" t="n"/>
      <c r="K15" s="564" t="n"/>
      <c r="L15" s="564" t="n"/>
      <c r="N15" s="564" t="n"/>
    </row>
    <row r="16">
      <c r="A16" s="156" t="n">
        <v>46041</v>
      </c>
      <c r="B16" s="112" t="n"/>
      <c r="C16" s="112" t="n"/>
      <c r="D16" s="112" t="n">
        <v>602</v>
      </c>
      <c r="E16" s="572">
        <f>+E15+C16-D16</f>
        <v/>
      </c>
      <c r="M16" s="564" t="inlineStr">
        <is>
          <t>总规模</t>
        </is>
      </c>
      <c r="N16" s="573">
        <f>SUM(N9:N15)</f>
        <v/>
      </c>
      <c r="O16" s="0" t="inlineStr">
        <is>
          <t>加权收益</t>
        </is>
      </c>
      <c r="P16" s="464">
        <f>SUMPRODUCT(P9:P14,N9:N14)/N16</f>
        <v/>
      </c>
    </row>
    <row r="17">
      <c r="A17" s="156" t="n"/>
      <c r="B17" s="112" t="n"/>
      <c r="C17" s="112" t="n"/>
      <c r="D17" s="112" t="n"/>
      <c r="E17" s="572" t="n">
        <v>4662</v>
      </c>
      <c r="N17" s="573" t="n"/>
      <c r="P17" s="464" t="n"/>
    </row>
    <row r="18">
      <c r="A18" s="156" t="n">
        <v>46045</v>
      </c>
      <c r="B18" s="112" t="inlineStr">
        <is>
          <t>回款</t>
        </is>
      </c>
      <c r="C18" s="112" t="n">
        <v>354</v>
      </c>
      <c r="D18" s="112" t="n"/>
      <c r="E18" s="572">
        <f>+E17+C18-D18</f>
        <v/>
      </c>
      <c r="N18" s="573" t="n"/>
      <c r="P18" s="464" t="n"/>
    </row>
    <row r="19">
      <c r="A19" s="156" t="n">
        <v>46048</v>
      </c>
      <c r="B19" s="112" t="inlineStr">
        <is>
          <t>回款</t>
        </is>
      </c>
      <c r="C19" s="112" t="n">
        <v>654</v>
      </c>
      <c r="D19" s="112" t="n"/>
      <c r="E19" s="572">
        <f>+E18+C19-D19</f>
        <v/>
      </c>
      <c r="N19" s="573" t="n"/>
      <c r="P19" s="464" t="n"/>
    </row>
    <row r="20">
      <c r="A20" s="156" t="n">
        <v>46049</v>
      </c>
      <c r="B20" s="112" t="inlineStr">
        <is>
          <t>回款</t>
        </is>
      </c>
      <c r="C20" s="112" t="n">
        <v>517</v>
      </c>
      <c r="D20" s="112" t="n"/>
      <c r="E20" s="572">
        <f>+E19+C20-D20</f>
        <v/>
      </c>
      <c r="N20" s="573" t="n"/>
      <c r="P20" s="464" t="n"/>
    </row>
    <row r="21">
      <c r="A21" s="156" t="n">
        <v>46050</v>
      </c>
      <c r="B21" s="112" t="inlineStr">
        <is>
          <t>回款</t>
        </is>
      </c>
      <c r="C21" s="112" t="n">
        <v>176</v>
      </c>
      <c r="D21" s="112" t="n"/>
      <c r="E21" s="572">
        <f>+E20+C21-D21</f>
        <v/>
      </c>
      <c r="H21" s="564" t="n"/>
      <c r="AC21" s="0" t="inlineStr">
        <is>
          <t>元康盛景26号</t>
        </is>
      </c>
      <c r="AD21" s="0" t="inlineStr">
        <is>
          <t>芜湖扬讯 Z11825</t>
        </is>
      </c>
      <c r="AE21" s="0">
        <f>H12&amp;"["&amp;I12&amp;"]，"&amp;K12&amp;"w，"&amp;L12-0.01&amp;"，"&amp;TEXT(O12,"m月d日")&amp;"，"&amp;AC21&amp;" to "&amp;AD21</f>
        <v/>
      </c>
    </row>
    <row r="22">
      <c r="A22" s="156" t="n"/>
      <c r="B22" s="112" t="n"/>
      <c r="C22" s="112" t="n"/>
      <c r="D22" s="112" t="n"/>
      <c r="E22" s="572">
        <f>+E21+C22-D22</f>
        <v/>
      </c>
      <c r="J22" s="167" t="n"/>
      <c r="K22" s="564" t="n"/>
      <c r="S22" s="573" t="n"/>
      <c r="AC22" s="0" t="inlineStr">
        <is>
          <t>元康盛景26号</t>
        </is>
      </c>
      <c r="AD22" s="0" t="inlineStr">
        <is>
          <t>芜湖扬讯 Z11825</t>
        </is>
      </c>
      <c r="AE22" s="0">
        <f>H13&amp;"["&amp;I13&amp;"]，"&amp;K13&amp;"w，"&amp;L13-0.01&amp;"，"&amp;TEXT(O13,"m月d日")&amp;"，"&amp;AC22&amp;" to "&amp;AD22</f>
        <v/>
      </c>
    </row>
    <row r="23">
      <c r="A23" s="156" t="n">
        <v>46051</v>
      </c>
      <c r="B23" s="112" t="n"/>
      <c r="C23" s="112" t="n"/>
      <c r="D23" s="112" t="n"/>
      <c r="E23" s="572" t="n">
        <v>6367</v>
      </c>
      <c r="H23" s="564" t="n"/>
      <c r="J23" s="167" t="n"/>
      <c r="K23" s="564" t="n"/>
      <c r="S23" s="573" t="n"/>
      <c r="AC23" s="0" t="inlineStr">
        <is>
          <t>元康盛景26号</t>
        </is>
      </c>
      <c r="AD23" s="0" t="inlineStr">
        <is>
          <t>芜湖扬讯 Z11825</t>
        </is>
      </c>
      <c r="AE23" s="0">
        <f>H14&amp;"["&amp;I14&amp;"]，"&amp;K14&amp;"w，"&amp;L14-0.01&amp;"，"&amp;TEXT(O14,"m月d日")&amp;"，"&amp;AC23&amp;" to "&amp;AD23</f>
        <v/>
      </c>
    </row>
    <row r="24">
      <c r="A24" s="156" t="n">
        <v>46066</v>
      </c>
      <c r="B24" s="112" t="inlineStr">
        <is>
          <t>回款</t>
        </is>
      </c>
      <c r="C24" s="112" t="n">
        <v>213</v>
      </c>
      <c r="D24" s="112" t="n"/>
      <c r="E24" s="572">
        <f>+E23+C24-D24</f>
        <v/>
      </c>
      <c r="H24" s="564" t="n"/>
      <c r="I24" s="564" t="n"/>
      <c r="J24" s="0" t="n"/>
      <c r="K24" s="0" t="n"/>
      <c r="L24" s="0" t="n"/>
      <c r="M24" s="0" t="n"/>
      <c r="S24" s="573" t="n"/>
    </row>
    <row r="25">
      <c r="A25" s="156" t="n">
        <v>46077</v>
      </c>
      <c r="B25" s="112" t="inlineStr">
        <is>
          <t>回款</t>
        </is>
      </c>
      <c r="C25" s="112" t="n">
        <v>2081</v>
      </c>
      <c r="D25" s="112" t="n"/>
      <c r="E25" s="572">
        <f>+E24+C25-D25</f>
        <v/>
      </c>
      <c r="H25" s="564" t="n"/>
      <c r="I25" s="564" t="n"/>
      <c r="J25" s="0" t="n"/>
      <c r="K25" s="0" t="n"/>
      <c r="L25" s="0" t="n"/>
      <c r="M25" s="0" t="n"/>
      <c r="S25" s="573" t="n"/>
    </row>
    <row r="26">
      <c r="A26" s="156" t="n"/>
      <c r="B26" s="112" t="n"/>
      <c r="C26" s="112" t="n"/>
      <c r="D26" s="112" t="n"/>
      <c r="E26" s="572">
        <f>+E25+C26-D26</f>
        <v/>
      </c>
      <c r="H26" s="564" t="n"/>
      <c r="I26" s="564" t="n"/>
      <c r="J26" s="0" t="n"/>
      <c r="K26" s="0" t="n"/>
      <c r="L26" s="0" t="n"/>
      <c r="M26" s="0" t="n"/>
      <c r="S26" s="573" t="n"/>
    </row>
    <row r="27">
      <c r="A27" s="156" t="n"/>
      <c r="B27" s="112" t="n"/>
      <c r="C27" s="112" t="n"/>
      <c r="D27" s="112" t="n"/>
      <c r="E27" s="572">
        <f>+E26+C27-D27</f>
        <v/>
      </c>
      <c r="H27" s="564" t="n"/>
      <c r="I27" s="564" t="n"/>
      <c r="J27" s="0" t="n"/>
      <c r="K27" s="0" t="n"/>
      <c r="L27" s="0" t="n"/>
      <c r="M27" s="0" t="n"/>
      <c r="S27" s="573" t="n"/>
    </row>
    <row r="28">
      <c r="A28" s="156" t="n">
        <v>46077</v>
      </c>
      <c r="B28" s="112" t="inlineStr">
        <is>
          <t>申购</t>
        </is>
      </c>
      <c r="C28" s="112" t="n">
        <v>2614</v>
      </c>
      <c r="D28" s="112" t="n"/>
      <c r="E28" s="572">
        <f>+E27+C28-D28</f>
        <v/>
      </c>
      <c r="S28" s="573" t="n"/>
    </row>
    <row r="29">
      <c r="A29" s="156" t="n">
        <v>46079</v>
      </c>
      <c r="B29" s="284" t="inlineStr">
        <is>
          <t>兑付赎回</t>
        </is>
      </c>
      <c r="C29" s="112" t="n"/>
      <c r="D29" s="112" t="n">
        <v>4533</v>
      </c>
      <c r="E29" s="572">
        <f>+E28+C29-D29</f>
        <v/>
      </c>
      <c r="H29" s="564" t="inlineStr">
        <is>
          <t>3月份募集目标</t>
        </is>
      </c>
      <c r="J29" s="564" t="inlineStr">
        <is>
          <t>优先级户</t>
        </is>
      </c>
    </row>
    <row r="30">
      <c r="A30" s="156" t="n">
        <v>46079</v>
      </c>
      <c r="B30" s="578" t="inlineStr">
        <is>
          <t>海云3优A</t>
        </is>
      </c>
      <c r="C30" s="112" t="n"/>
      <c r="D30" s="112" t="n">
        <v>1900</v>
      </c>
      <c r="E30" s="572">
        <f>+E29+C30-D30</f>
        <v/>
      </c>
      <c r="F30" s="563" t="n">
        <v>6500</v>
      </c>
      <c r="I30" s="0" t="n">
        <v>1</v>
      </c>
      <c r="J30" s="564" t="inlineStr">
        <is>
          <t>蔚能夹层A3或优先B</t>
        </is>
      </c>
      <c r="K30" s="564" t="n">
        <v>3000</v>
      </c>
    </row>
    <row r="31">
      <c r="A31" s="156" t="n">
        <v>46080</v>
      </c>
      <c r="B31" s="112" t="inlineStr">
        <is>
          <t>回款</t>
        </is>
      </c>
      <c r="C31" s="112" t="n">
        <v>291</v>
      </c>
      <c r="D31" s="112" t="n"/>
      <c r="E31" s="572">
        <f>+E30+C31-D31</f>
        <v/>
      </c>
      <c r="I31" s="0" t="n">
        <v>2</v>
      </c>
      <c r="J31" s="564" t="inlineStr">
        <is>
          <t>远东普惠2026-1ABS夹层</t>
        </is>
      </c>
      <c r="K31" s="564" t="n">
        <v>4000</v>
      </c>
      <c r="L31" s="564" t="n"/>
    </row>
    <row r="32">
      <c r="A32" s="156" t="n">
        <v>46083</v>
      </c>
      <c r="B32" s="112" t="inlineStr">
        <is>
          <t>回款</t>
        </is>
      </c>
      <c r="C32" s="112" t="n">
        <v>909</v>
      </c>
      <c r="D32" s="112" t="n"/>
      <c r="E32" s="572">
        <f>+E31+C32-D32</f>
        <v/>
      </c>
      <c r="I32" s="0" t="n">
        <v>3</v>
      </c>
      <c r="J32" s="564" t="inlineStr">
        <is>
          <t>星灿5A3</t>
        </is>
      </c>
      <c r="K32" s="564" t="n">
        <v>3200</v>
      </c>
      <c r="L32" s="564" t="inlineStr">
        <is>
          <t>26号+28号</t>
        </is>
      </c>
    </row>
    <row r="33">
      <c r="A33" s="156" t="n"/>
      <c r="B33" s="112" t="n"/>
      <c r="C33" s="112" t="n"/>
      <c r="D33" s="112" t="n"/>
      <c r="E33" s="572" t="n">
        <v>5968</v>
      </c>
      <c r="I33" s="0" t="n">
        <v>4</v>
      </c>
      <c r="J33" s="564" t="inlineStr">
        <is>
          <t>熠然5A3</t>
        </is>
      </c>
      <c r="K33" s="564" t="n">
        <v>2500</v>
      </c>
      <c r="L33" s="564" t="inlineStr">
        <is>
          <t>26号</t>
        </is>
      </c>
    </row>
    <row r="34">
      <c r="A34" s="156" t="n">
        <v>46085</v>
      </c>
      <c r="B34" s="112" t="inlineStr">
        <is>
          <t>欧力士缴款</t>
        </is>
      </c>
      <c r="C34" s="112" t="n"/>
      <c r="D34" s="112" t="n">
        <v>500</v>
      </c>
      <c r="E34" s="572">
        <f>+E33+C34-D34</f>
        <v/>
      </c>
      <c r="F34" s="563" t="inlineStr">
        <is>
          <t>3/4，26OCC1B，267846.SH,苏信Z2501一级缴款 ，500w，发行利率【3.0】%</t>
        </is>
      </c>
      <c r="K34" s="564" t="n"/>
    </row>
    <row r="35">
      <c r="A35" s="156" t="n">
        <v>46086</v>
      </c>
      <c r="B35" s="112" t="inlineStr">
        <is>
          <t>回款</t>
        </is>
      </c>
      <c r="C35" s="112" t="n">
        <v>220</v>
      </c>
      <c r="D35" s="112" t="n"/>
      <c r="E35" s="572">
        <f>+E34+C35-D35</f>
        <v/>
      </c>
      <c r="K35" s="564" t="n"/>
    </row>
    <row r="36">
      <c r="A36" s="156" t="n">
        <v>46090</v>
      </c>
      <c r="B36" s="112" t="inlineStr">
        <is>
          <t>鑫驰4B</t>
        </is>
      </c>
      <c r="C36" s="112" t="n"/>
      <c r="D36" s="112" t="n">
        <v>2000</v>
      </c>
      <c r="E36" s="572">
        <f>+E35+C36-D36</f>
        <v/>
      </c>
      <c r="F36" s="563" t="inlineStr">
        <is>
          <t>3/9,鑫驰4B，500492, 2000w一级缴款，利率3.15%， 苏信财富Z2501，3-10起息</t>
        </is>
      </c>
      <c r="H36" s="169" t="inlineStr">
        <is>
          <t>3月交易安排</t>
        </is>
      </c>
      <c r="K36" s="564" t="n"/>
      <c r="T36" s="117" t="n">
        <v>46094</v>
      </c>
    </row>
    <row r="37">
      <c r="E37" s="563">
        <f>+E36+C37-D37</f>
        <v/>
      </c>
      <c r="H37" s="0" t="inlineStr">
        <is>
          <t>证券名称</t>
        </is>
      </c>
      <c r="I37" s="565" t="inlineStr">
        <is>
          <t>代码</t>
        </is>
      </c>
      <c r="J37" s="565" t="inlineStr">
        <is>
          <t>票息（预期）</t>
        </is>
      </c>
      <c r="K37" s="564" t="inlineStr">
        <is>
          <t>数量</t>
        </is>
      </c>
      <c r="L37" s="0" t="inlineStr">
        <is>
          <t>净价</t>
        </is>
      </c>
      <c r="M37" s="0" t="inlineStr">
        <is>
          <t>全价</t>
        </is>
      </c>
      <c r="N37" s="0" t="inlineStr">
        <is>
          <t>规模</t>
        </is>
      </c>
      <c r="O37" s="0" t="inlineStr">
        <is>
          <t>交易日期</t>
        </is>
      </c>
      <c r="P37" s="0" t="inlineStr">
        <is>
          <t>后手收益率</t>
        </is>
      </c>
      <c r="Q37" s="0" t="inlineStr">
        <is>
          <t>上家</t>
        </is>
      </c>
      <c r="R37" s="0" t="inlineStr">
        <is>
          <t>过桥</t>
        </is>
      </c>
      <c r="S37" s="0" t="inlineStr">
        <is>
          <t>过桥费</t>
        </is>
      </c>
      <c r="T37" s="0" t="inlineStr">
        <is>
          <t>中债估值</t>
        </is>
      </c>
      <c r="U37" s="0" t="inlineStr">
        <is>
          <t>估值后手收益率</t>
        </is>
      </c>
      <c r="V37" s="0" t="inlineStr">
        <is>
          <t>最新评级</t>
        </is>
      </c>
      <c r="W37" s="0" t="inlineStr">
        <is>
          <t>上个付息日</t>
        </is>
      </c>
      <c r="X37" s="0" t="inlineStr">
        <is>
          <t>应计利息</t>
        </is>
      </c>
      <c r="Y37" s="0" t="inlineStr">
        <is>
          <t>起息日</t>
        </is>
      </c>
      <c r="Z37" s="0" t="inlineStr">
        <is>
          <t>本金开始摊还日</t>
        </is>
      </c>
      <c r="AA37" s="0" t="inlineStr">
        <is>
          <t>预计到期日</t>
        </is>
      </c>
      <c r="AB37" s="0" t="inlineStr">
        <is>
          <t>剩余面值</t>
        </is>
      </c>
      <c r="AC37" s="0" t="inlineStr">
        <is>
          <t>卖家交易员</t>
        </is>
      </c>
      <c r="AD37" s="0" t="inlineStr">
        <is>
          <t>买家交易员</t>
        </is>
      </c>
      <c r="AE37" s="0" t="inlineStr">
        <is>
          <t>交易要素</t>
        </is>
      </c>
    </row>
    <row r="38">
      <c r="A38" s="156" t="n">
        <v>46097</v>
      </c>
      <c r="B38" s="112" t="inlineStr">
        <is>
          <t>回款</t>
        </is>
      </c>
      <c r="C38" s="112" t="n">
        <v>1094</v>
      </c>
      <c r="D38" s="112" t="n"/>
      <c r="E38" s="572">
        <f>+E37+C38-D38</f>
        <v/>
      </c>
      <c r="H38" s="564" t="inlineStr">
        <is>
          <t>星灿5A3</t>
        </is>
      </c>
      <c r="I38" s="0" t="inlineStr">
        <is>
          <t>144780.SZ</t>
        </is>
      </c>
      <c r="J38" s="464" t="n">
        <v>0.043</v>
      </c>
      <c r="K38" s="564" t="n">
        <v>2518</v>
      </c>
      <c r="L38" s="564">
        <f>79.36-8.68</f>
        <v/>
      </c>
      <c r="M38" s="564">
        <f>L38+X38</f>
        <v/>
      </c>
      <c r="N38" s="564">
        <f>+M38*K38/100</f>
        <v/>
      </c>
      <c r="O38" s="117" t="n">
        <v>46098</v>
      </c>
      <c r="P38" s="150" t="n"/>
      <c r="Q38" s="0" t="inlineStr">
        <is>
          <t>26号</t>
        </is>
      </c>
      <c r="R38" s="0" t="inlineStr">
        <is>
          <t>NA</t>
        </is>
      </c>
      <c r="T38" s="201" t="n">
        <v>79.36060000000001</v>
      </c>
      <c r="U38" s="150" t="n">
        <v>0.0375</v>
      </c>
      <c r="V38" s="0" t="inlineStr">
        <is>
          <t>AAA</t>
        </is>
      </c>
      <c r="W38" s="1" t="n">
        <v>46097</v>
      </c>
      <c r="X38" s="586">
        <f>+J38*(O38-W38+1)/365*100</f>
        <v/>
      </c>
      <c r="Y38" s="1" t="n">
        <v>45596</v>
      </c>
      <c r="AA38" s="1" t="n">
        <v>46675</v>
      </c>
      <c r="AB38" s="564" t="n">
        <v>70.55</v>
      </c>
      <c r="AC38" s="0" t="inlineStr">
        <is>
          <t>元康26号</t>
        </is>
      </c>
      <c r="AD38" s="0" t="inlineStr">
        <is>
          <t>苏信Z2501</t>
        </is>
      </c>
      <c r="AE38" s="0">
        <f>H38&amp;"["&amp;I38&amp;"]，"&amp;K38&amp;"w，"&amp;L38&amp;"，"&amp;TEXT(O38,"m月d日")&amp;"，"&amp;AC38&amp;" to "&amp;AD38</f>
        <v/>
      </c>
    </row>
    <row r="39">
      <c r="A39" s="156" t="n">
        <v>46097</v>
      </c>
      <c r="B39" s="112" t="inlineStr">
        <is>
          <t>申购</t>
        </is>
      </c>
      <c r="C39" s="112" t="n">
        <v>10006</v>
      </c>
      <c r="D39" s="112" t="n"/>
      <c r="E39" s="572">
        <f>+E38+C39-D39</f>
        <v/>
      </c>
      <c r="H39" s="564" t="inlineStr">
        <is>
          <t>熠然5A3</t>
        </is>
      </c>
      <c r="I39" s="565" t="inlineStr">
        <is>
          <t>263739.SH</t>
        </is>
      </c>
      <c r="J39" s="464" t="n">
        <v>0.043</v>
      </c>
      <c r="K39" s="564" t="n">
        <v>3000</v>
      </c>
      <c r="L39" s="564">
        <f>86.15-10.28</f>
        <v/>
      </c>
      <c r="M39" s="564">
        <f>L39+X39</f>
        <v/>
      </c>
      <c r="N39" s="564">
        <f>+M39*K39/100</f>
        <v/>
      </c>
      <c r="O39" s="117" t="n">
        <v>46098</v>
      </c>
      <c r="P39" s="150" t="n"/>
      <c r="Q39" s="0" t="inlineStr">
        <is>
          <t>26号</t>
        </is>
      </c>
      <c r="R39" s="0" t="inlineStr">
        <is>
          <t>NA</t>
        </is>
      </c>
      <c r="T39" s="201" t="n">
        <v>86.1497</v>
      </c>
      <c r="U39" s="150" t="n">
        <v>0.037565</v>
      </c>
      <c r="V39" s="0" t="inlineStr">
        <is>
          <t>AAA</t>
        </is>
      </c>
      <c r="W39" s="1" t="n">
        <v>46097</v>
      </c>
      <c r="X39" s="586">
        <f>+J39*(O39-W39+1)/365*100</f>
        <v/>
      </c>
      <c r="Y39" s="1" t="n">
        <v>45611</v>
      </c>
      <c r="AA39" s="1" t="n">
        <v>46703</v>
      </c>
      <c r="AB39" s="564" t="n">
        <v>75.72</v>
      </c>
      <c r="AC39" s="0" t="inlineStr">
        <is>
          <t>元康26号</t>
        </is>
      </c>
      <c r="AD39" s="0" t="inlineStr">
        <is>
          <t>苏信Z2501</t>
        </is>
      </c>
      <c r="AE39" s="0">
        <f>H39&amp;"["&amp;I39&amp;"]，"&amp;K39&amp;"w，"&amp;L39&amp;"，"&amp;TEXT(O39,"m月d日")&amp;"，"&amp;AC39&amp;" to "&amp;AD39</f>
        <v/>
      </c>
    </row>
    <row r="40">
      <c r="A40" s="156" t="n">
        <v>46098</v>
      </c>
      <c r="B40" s="112" t="inlineStr">
        <is>
          <t>星灿5A3</t>
        </is>
      </c>
      <c r="C40" s="112" t="n"/>
      <c r="D40" s="576">
        <f>N38</f>
        <v/>
      </c>
      <c r="E40" s="572">
        <f>+E39+C40-D40</f>
        <v/>
      </c>
      <c r="F40" s="563" t="n"/>
      <c r="H40" s="564" t="inlineStr">
        <is>
          <t>熠然5A3</t>
        </is>
      </c>
      <c r="I40" s="565" t="inlineStr">
        <is>
          <t>263739.SH</t>
        </is>
      </c>
      <c r="J40" s="464" t="n">
        <v>0.043</v>
      </c>
      <c r="K40" s="564" t="n">
        <v>1385</v>
      </c>
      <c r="L40" s="564">
        <f>86.15-10.28</f>
        <v/>
      </c>
      <c r="M40" s="564">
        <f>L40+X40</f>
        <v/>
      </c>
      <c r="N40" s="564">
        <f>+M40*K40/100</f>
        <v/>
      </c>
      <c r="O40" s="117" t="n">
        <v>46099</v>
      </c>
      <c r="P40" s="150" t="n"/>
      <c r="Q40" s="0" t="inlineStr">
        <is>
          <t>28号</t>
        </is>
      </c>
      <c r="R40" s="0" t="inlineStr">
        <is>
          <t>NA</t>
        </is>
      </c>
      <c r="T40" s="201" t="n">
        <v>86.1497</v>
      </c>
      <c r="U40" s="150" t="n">
        <v>0.037565</v>
      </c>
      <c r="V40" s="0" t="inlineStr">
        <is>
          <t>AAA</t>
        </is>
      </c>
      <c r="W40" s="1" t="n">
        <v>46097</v>
      </c>
      <c r="X40" s="586">
        <f>+J40*(O40-W40+1)/365*100</f>
        <v/>
      </c>
      <c r="Y40" s="1" t="n">
        <v>45611</v>
      </c>
      <c r="AA40" s="1" t="n">
        <v>46703</v>
      </c>
      <c r="AB40" s="564" t="n">
        <v>75.72</v>
      </c>
      <c r="AC40" s="0" t="inlineStr">
        <is>
          <t>元康28号</t>
        </is>
      </c>
      <c r="AD40" s="0" t="inlineStr">
        <is>
          <t>苏信Z2501</t>
        </is>
      </c>
      <c r="AE40" s="0">
        <f>H40&amp;"["&amp;I40&amp;"]，"&amp;K40&amp;"w，"&amp;L40&amp;"，"&amp;TEXT(O40,"m月d日")&amp;"，"&amp;AC40&amp;" to "&amp;AD40</f>
        <v/>
      </c>
    </row>
    <row r="41">
      <c r="A41" s="156" t="n"/>
      <c r="B41" s="578" t="inlineStr">
        <is>
          <t>熠然5A3</t>
        </is>
      </c>
      <c r="C41" s="578" t="n"/>
      <c r="D41" s="578">
        <f>N39</f>
        <v/>
      </c>
      <c r="E41" s="572">
        <f>+E40+C41-D41</f>
        <v/>
      </c>
      <c r="G41" s="337" t="inlineStr">
        <is>
          <t>待定</t>
        </is>
      </c>
      <c r="H41" s="564" t="inlineStr">
        <is>
          <t>蔚能夹层A3或优先B</t>
        </is>
      </c>
      <c r="J41" s="464" t="n"/>
      <c r="K41" s="564" t="n">
        <v>3000</v>
      </c>
      <c r="L41" s="564" t="n">
        <v>100</v>
      </c>
      <c r="M41" s="564">
        <f>L41+X41</f>
        <v/>
      </c>
      <c r="N41" s="564">
        <f>+M41*K41/100</f>
        <v/>
      </c>
      <c r="O41" s="117" t="n"/>
      <c r="P41" s="150" t="n"/>
      <c r="Q41" s="0" t="inlineStr">
        <is>
          <t>一级</t>
        </is>
      </c>
      <c r="R41" s="0" t="inlineStr">
        <is>
          <t>NA</t>
        </is>
      </c>
      <c r="U41" s="150" t="n"/>
      <c r="W41" s="1" t="n"/>
      <c r="X41" s="614">
        <f>+J41*(O41-W41+1)/365*100</f>
        <v/>
      </c>
      <c r="Y41" s="1" t="n"/>
      <c r="AA41" s="1" t="n"/>
      <c r="AB41" s="0" t="n">
        <v>100</v>
      </c>
      <c r="AD41" s="0" t="inlineStr">
        <is>
          <t>苏信Z2501</t>
        </is>
      </c>
      <c r="AE41" s="0">
        <f>H41&amp;"["&amp;I41&amp;"]，"&amp;K41&amp;"w，"&amp;L41&amp;"，"&amp;TEXT(O41,"m月d日")&amp;"，"&amp;AC41&amp;" to "&amp;AD41</f>
        <v/>
      </c>
    </row>
    <row r="42">
      <c r="A42" s="156" t="n">
        <v>46099</v>
      </c>
      <c r="B42" s="578" t="inlineStr">
        <is>
          <t>熠然5A3</t>
        </is>
      </c>
      <c r="C42" s="112" t="n"/>
      <c r="D42" s="576">
        <f>N50+N51</f>
        <v/>
      </c>
      <c r="E42" s="572">
        <f>+E41+C42-D42</f>
        <v/>
      </c>
      <c r="G42" s="337" t="inlineStr">
        <is>
          <t>待定</t>
        </is>
      </c>
      <c r="H42" s="564" t="inlineStr">
        <is>
          <t>远东普惠2026-1ABS夹层</t>
        </is>
      </c>
      <c r="J42" s="334" t="n"/>
      <c r="K42" s="564" t="n">
        <v>4000</v>
      </c>
      <c r="L42" s="564" t="n">
        <v>100</v>
      </c>
      <c r="M42" s="564">
        <f>L42+X42</f>
        <v/>
      </c>
      <c r="N42" s="564">
        <f>+M42*K42/100</f>
        <v/>
      </c>
      <c r="O42" s="117" t="n"/>
      <c r="P42" s="150" t="n"/>
      <c r="Q42" s="0" t="inlineStr">
        <is>
          <t>一级</t>
        </is>
      </c>
      <c r="R42" s="0" t="inlineStr">
        <is>
          <t>NA</t>
        </is>
      </c>
      <c r="U42" s="150" t="n"/>
      <c r="W42" s="1" t="n"/>
      <c r="X42" s="586">
        <f>+J42*(O42-W42+1)/365*100</f>
        <v/>
      </c>
      <c r="Y42" s="1" t="n"/>
      <c r="AA42" s="1" t="n"/>
      <c r="AB42" s="0" t="n">
        <v>100</v>
      </c>
      <c r="AD42" s="0" t="inlineStr">
        <is>
          <t>苏信Z2501</t>
        </is>
      </c>
      <c r="AE42" s="0">
        <f>H42&amp;"["&amp;I42&amp;"]，"&amp;K42&amp;"w，"&amp;L42&amp;"，"&amp;TEXT(O42,"m月d日")&amp;"，"&amp;AC42&amp;" to "&amp;AD42</f>
        <v/>
      </c>
    </row>
    <row r="43">
      <c r="E43" s="563">
        <f>+E42+C43-D43</f>
        <v/>
      </c>
      <c r="F43" s="563" t="inlineStr">
        <is>
          <t>元康28</t>
        </is>
      </c>
      <c r="L43" s="564" t="n"/>
      <c r="T43" s="117" t="n">
        <v>46094</v>
      </c>
    </row>
    <row r="44">
      <c r="E44" s="563">
        <f>+E43+C44-D44</f>
        <v/>
      </c>
      <c r="H44" s="0" t="inlineStr">
        <is>
          <t>证券名称</t>
        </is>
      </c>
      <c r="I44" s="565" t="inlineStr">
        <is>
          <t>代码</t>
        </is>
      </c>
      <c r="J44" s="565" t="inlineStr">
        <is>
          <t>票息（预期）</t>
        </is>
      </c>
      <c r="K44" s="564" t="inlineStr">
        <is>
          <t>数量</t>
        </is>
      </c>
      <c r="L44" s="0" t="inlineStr">
        <is>
          <t>净价</t>
        </is>
      </c>
      <c r="M44" s="0" t="inlineStr">
        <is>
          <t>全价</t>
        </is>
      </c>
      <c r="N44" s="0" t="inlineStr">
        <is>
          <t>规模</t>
        </is>
      </c>
      <c r="O44" s="0" t="inlineStr">
        <is>
          <t>交易日期</t>
        </is>
      </c>
      <c r="P44" s="0" t="inlineStr">
        <is>
          <t>后手收益率</t>
        </is>
      </c>
      <c r="Q44" s="0" t="inlineStr">
        <is>
          <t>上家</t>
        </is>
      </c>
      <c r="R44" s="0" t="inlineStr">
        <is>
          <t>过桥</t>
        </is>
      </c>
      <c r="S44" s="0" t="inlineStr">
        <is>
          <t>过桥费</t>
        </is>
      </c>
      <c r="T44" s="0" t="inlineStr">
        <is>
          <t>中债估值</t>
        </is>
      </c>
      <c r="U44" s="0" t="inlineStr">
        <is>
          <t>估值后手收益率</t>
        </is>
      </c>
      <c r="V44" s="0" t="inlineStr">
        <is>
          <t>最新评级</t>
        </is>
      </c>
      <c r="W44" s="0" t="inlineStr">
        <is>
          <t>上个付息日</t>
        </is>
      </c>
      <c r="X44" s="0" t="inlineStr">
        <is>
          <t>应计利息</t>
        </is>
      </c>
      <c r="Y44" s="0" t="inlineStr">
        <is>
          <t>起息日</t>
        </is>
      </c>
      <c r="Z44" s="0" t="inlineStr">
        <is>
          <t>本金开始摊还日</t>
        </is>
      </c>
      <c r="AA44" s="0" t="inlineStr">
        <is>
          <t>预计到期日</t>
        </is>
      </c>
      <c r="AB44" s="0" t="inlineStr">
        <is>
          <t>剩余面值</t>
        </is>
      </c>
      <c r="AC44" s="0" t="inlineStr">
        <is>
          <t>卖家交易员</t>
        </is>
      </c>
      <c r="AD44" s="0" t="inlineStr">
        <is>
          <t>买家交易员</t>
        </is>
      </c>
      <c r="AE44" s="0" t="inlineStr">
        <is>
          <t>交易要素</t>
        </is>
      </c>
    </row>
    <row r="45">
      <c r="A45" s="156" t="n">
        <v>46101</v>
      </c>
      <c r="B45" s="112" t="inlineStr">
        <is>
          <t>回款</t>
        </is>
      </c>
      <c r="C45" s="112" t="n">
        <v>345</v>
      </c>
      <c r="D45" s="112" t="n"/>
      <c r="E45" s="572">
        <f>+E44+C45-D45</f>
        <v/>
      </c>
      <c r="H45" s="564" t="inlineStr">
        <is>
          <t>星灿5A3</t>
        </is>
      </c>
      <c r="I45" s="0" t="inlineStr">
        <is>
          <t>144780.SZ</t>
        </is>
      </c>
      <c r="J45" s="464" t="n">
        <v>0.043</v>
      </c>
      <c r="K45" s="564" t="n">
        <v>1400</v>
      </c>
      <c r="L45" s="564">
        <f>79.36-8.68</f>
        <v/>
      </c>
      <c r="M45" s="564">
        <f>L45+X45</f>
        <v/>
      </c>
      <c r="N45" s="564">
        <f>+M45*K45/100</f>
        <v/>
      </c>
      <c r="O45" s="117" t="n">
        <v>46098</v>
      </c>
      <c r="P45" s="150" t="n"/>
      <c r="Q45" s="0" t="inlineStr">
        <is>
          <t>26号</t>
        </is>
      </c>
      <c r="R45" s="0" t="inlineStr">
        <is>
          <t>芜湖扬讯</t>
        </is>
      </c>
      <c r="T45" s="201" t="n">
        <v>79.36060000000001</v>
      </c>
      <c r="U45" s="150" t="n">
        <v>0.0375</v>
      </c>
      <c r="V45" s="0" t="inlineStr">
        <is>
          <t>AAA</t>
        </is>
      </c>
      <c r="W45" s="1" t="n">
        <v>46097</v>
      </c>
      <c r="X45" s="586">
        <f>+J45*(O45-W45+1)/365*100</f>
        <v/>
      </c>
      <c r="Y45" s="1" t="n">
        <v>45596</v>
      </c>
      <c r="AA45" s="1" t="n">
        <v>46675</v>
      </c>
      <c r="AB45" s="564" t="n">
        <v>70.55</v>
      </c>
      <c r="AC45" s="0" t="inlineStr">
        <is>
          <t>芜湖扬讯</t>
        </is>
      </c>
      <c r="AD45" s="0" t="inlineStr">
        <is>
          <t>苏信Z2501</t>
        </is>
      </c>
      <c r="AE45" s="0" t="inlineStr">
        <is>
          <t>星灿5A3[144780.SZ]，1400w，70.68，3月17日，芜湖扬讯 to 苏信Z2501</t>
        </is>
      </c>
    </row>
    <row r="46">
      <c r="A46" s="156" t="n"/>
      <c r="B46" s="112" t="n"/>
      <c r="C46" s="112" t="n"/>
      <c r="D46" s="112" t="n"/>
      <c r="E46" s="572">
        <f>+E45+C46-D46</f>
        <v/>
      </c>
      <c r="H46" s="564" t="inlineStr">
        <is>
          <t>星灿5A3</t>
        </is>
      </c>
      <c r="I46" s="0" t="inlineStr">
        <is>
          <t>144780.SZ</t>
        </is>
      </c>
      <c r="J46" s="464" t="n">
        <v>0.043</v>
      </c>
      <c r="K46" s="564">
        <f>+K38-K45</f>
        <v/>
      </c>
      <c r="L46" s="564">
        <f>79.36-8.68</f>
        <v/>
      </c>
      <c r="M46" s="564">
        <f>L46+X46</f>
        <v/>
      </c>
      <c r="N46" s="564">
        <f>+M46*K46/100</f>
        <v/>
      </c>
      <c r="O46" s="117" t="n">
        <v>46098</v>
      </c>
      <c r="P46" s="150" t="n"/>
      <c r="Q46" s="0" t="inlineStr">
        <is>
          <t>26号</t>
        </is>
      </c>
      <c r="R46" s="0" t="inlineStr">
        <is>
          <t>芜湖扬讯</t>
        </is>
      </c>
      <c r="T46" s="201" t="n">
        <v>79.36060000000001</v>
      </c>
      <c r="U46" s="150" t="n">
        <v>0.0375</v>
      </c>
      <c r="V46" s="0" t="inlineStr">
        <is>
          <t>AAA</t>
        </is>
      </c>
      <c r="W46" s="1" t="n">
        <v>46097</v>
      </c>
      <c r="X46" s="586">
        <f>+J46*(O46-W46+1)/365*100</f>
        <v/>
      </c>
      <c r="Y46" s="1" t="n">
        <v>45596</v>
      </c>
      <c r="AA46" s="1" t="n">
        <v>46675</v>
      </c>
      <c r="AB46" s="564" t="n">
        <v>70.55</v>
      </c>
      <c r="AC46" s="0" t="inlineStr">
        <is>
          <t>芜湖扬讯</t>
        </is>
      </c>
      <c r="AD46" s="0" t="inlineStr">
        <is>
          <t>苏信Z2501</t>
        </is>
      </c>
      <c r="AE46" s="0" t="inlineStr">
        <is>
          <t>星灿5A3[144780.SZ]，1118w，70.68，3月17日，芜湖扬讯 to 苏信Z2501</t>
        </is>
      </c>
    </row>
    <row r="47">
      <c r="A47" s="156" t="n">
        <v>46106</v>
      </c>
      <c r="B47" s="112" t="inlineStr">
        <is>
          <t>回款</t>
        </is>
      </c>
      <c r="C47" s="112" t="n">
        <v>94</v>
      </c>
      <c r="D47" s="112" t="n"/>
      <c r="E47" s="572">
        <f>+E46+C47-D47</f>
        <v/>
      </c>
      <c r="H47" s="564" t="inlineStr">
        <is>
          <t>熠然5A3</t>
        </is>
      </c>
      <c r="I47" s="565" t="inlineStr">
        <is>
          <t>263739.SH</t>
        </is>
      </c>
      <c r="J47" s="464" t="n">
        <v>0.043</v>
      </c>
      <c r="K47" s="564" t="n">
        <v>1300</v>
      </c>
      <c r="L47" s="564">
        <f>86.15-10.28</f>
        <v/>
      </c>
      <c r="M47" s="564">
        <f>L47+X47</f>
        <v/>
      </c>
      <c r="N47" s="564">
        <f>+M47*K47/100</f>
        <v/>
      </c>
      <c r="O47" s="117" t="n">
        <v>46098</v>
      </c>
      <c r="P47" s="150" t="n"/>
      <c r="Q47" s="0" t="inlineStr">
        <is>
          <t>26号</t>
        </is>
      </c>
      <c r="R47" s="0" t="inlineStr">
        <is>
          <t>芜湖扬讯</t>
        </is>
      </c>
      <c r="T47" s="201" t="n">
        <v>86.1497</v>
      </c>
      <c r="U47" s="150" t="n">
        <v>0.037565</v>
      </c>
      <c r="V47" s="0" t="inlineStr">
        <is>
          <t>AAA</t>
        </is>
      </c>
      <c r="W47" s="1" t="n">
        <v>46097</v>
      </c>
      <c r="X47" s="586">
        <f>+J47*(O47-W47+1)/365*100</f>
        <v/>
      </c>
      <c r="Y47" s="1" t="n">
        <v>45611</v>
      </c>
      <c r="AA47" s="1" t="n">
        <v>46703</v>
      </c>
      <c r="AB47" s="564" t="n">
        <v>75.72</v>
      </c>
      <c r="AC47" s="0" t="inlineStr">
        <is>
          <t>芜湖扬讯</t>
        </is>
      </c>
      <c r="AD47" s="0" t="inlineStr">
        <is>
          <t>苏信Z2501</t>
        </is>
      </c>
      <c r="AE47" s="0" t="inlineStr">
        <is>
          <t>熠然5A3[263739.SH]，1300w，75.87，3月17日，芜湖扬讯 to 苏信Z2501</t>
        </is>
      </c>
    </row>
    <row r="48">
      <c r="E48" s="563">
        <f>+E47+C48-D48</f>
        <v/>
      </c>
      <c r="F48" s="615" t="n"/>
      <c r="H48" s="564" t="inlineStr">
        <is>
          <t>熠然5A3</t>
        </is>
      </c>
      <c r="I48" s="565" t="inlineStr">
        <is>
          <t>263739.SH</t>
        </is>
      </c>
      <c r="J48" s="464" t="n">
        <v>0.043</v>
      </c>
      <c r="K48" s="564" t="n">
        <v>1200</v>
      </c>
      <c r="L48" s="564">
        <f>86.15-10.28</f>
        <v/>
      </c>
      <c r="M48" s="564">
        <f>L48+X48</f>
        <v/>
      </c>
      <c r="N48" s="564">
        <f>+M48*K48/100</f>
        <v/>
      </c>
      <c r="O48" s="117" t="n">
        <v>46098</v>
      </c>
      <c r="P48" s="150" t="n"/>
      <c r="Q48" s="0" t="inlineStr">
        <is>
          <t>26号</t>
        </is>
      </c>
      <c r="R48" s="0" t="inlineStr">
        <is>
          <t>芜湖扬讯</t>
        </is>
      </c>
      <c r="T48" s="201" t="n">
        <v>86.1497</v>
      </c>
      <c r="U48" s="150" t="n">
        <v>0.037565</v>
      </c>
      <c r="V48" s="0" t="inlineStr">
        <is>
          <t>AAA</t>
        </is>
      </c>
      <c r="W48" s="1" t="n">
        <v>46097</v>
      </c>
      <c r="X48" s="586">
        <f>+J48*(O48-W48+1)/365*100</f>
        <v/>
      </c>
      <c r="Y48" s="1" t="n">
        <v>45611</v>
      </c>
      <c r="AA48" s="1" t="n">
        <v>46703</v>
      </c>
      <c r="AB48" s="564" t="n">
        <v>75.72</v>
      </c>
      <c r="AC48" s="0" t="inlineStr">
        <is>
          <t>芜湖扬讯</t>
        </is>
      </c>
      <c r="AD48" s="0" t="inlineStr">
        <is>
          <t>苏信Z2501</t>
        </is>
      </c>
      <c r="AE48" s="0" t="inlineStr">
        <is>
          <t>熠然5A3[263739.SH]，1200w，75.87，3月17日，芜湖扬讯 to 苏信Z2501</t>
        </is>
      </c>
    </row>
    <row r="49">
      <c r="E49" s="563">
        <f>+E48+C49-D49</f>
        <v/>
      </c>
      <c r="H49" s="564" t="inlineStr">
        <is>
          <t>熠然5A3</t>
        </is>
      </c>
      <c r="I49" s="565" t="inlineStr">
        <is>
          <t>263739.SH</t>
        </is>
      </c>
      <c r="J49" s="464" t="n">
        <v>0.043</v>
      </c>
      <c r="K49" s="564">
        <f>K39-K47-K48</f>
        <v/>
      </c>
      <c r="L49" s="564">
        <f>86.15-10.28</f>
        <v/>
      </c>
      <c r="M49" s="564">
        <f>L49+X49</f>
        <v/>
      </c>
      <c r="N49" s="564">
        <f>+M49*K49/100</f>
        <v/>
      </c>
      <c r="O49" s="117" t="n">
        <v>46098</v>
      </c>
      <c r="P49" s="150" t="n"/>
      <c r="Q49" s="0" t="inlineStr">
        <is>
          <t>26号</t>
        </is>
      </c>
      <c r="R49" s="0" t="inlineStr">
        <is>
          <t>芜湖扬讯</t>
        </is>
      </c>
      <c r="T49" s="201" t="n">
        <v>86.1497</v>
      </c>
      <c r="U49" s="150" t="n">
        <v>0.037565</v>
      </c>
      <c r="V49" s="0" t="inlineStr">
        <is>
          <t>AAA</t>
        </is>
      </c>
      <c r="W49" s="1" t="n">
        <v>46097</v>
      </c>
      <c r="X49" s="586">
        <f>+J49*(O49-W49+1)/365*100</f>
        <v/>
      </c>
      <c r="Y49" s="1" t="n">
        <v>45611</v>
      </c>
      <c r="AA49" s="1" t="n">
        <v>46703</v>
      </c>
      <c r="AB49" s="564" t="n">
        <v>75.72</v>
      </c>
      <c r="AC49" s="0" t="inlineStr">
        <is>
          <t>芜湖扬讯</t>
        </is>
      </c>
      <c r="AD49" s="0" t="inlineStr">
        <is>
          <t>苏信Z2501</t>
        </is>
      </c>
      <c r="AE49" s="0" t="inlineStr">
        <is>
          <t>熠然5A3[263739.SH]，500w，75.87，3月17日，芜湖扬讯 to 苏信Z2501</t>
        </is>
      </c>
    </row>
    <row r="50">
      <c r="A50" s="156" t="n">
        <v>46108</v>
      </c>
      <c r="B50" s="112" t="inlineStr">
        <is>
          <t>回款</t>
        </is>
      </c>
      <c r="C50" s="112" t="n">
        <v>514</v>
      </c>
      <c r="D50" s="112" t="n"/>
      <c r="E50" s="572">
        <f>+E49+C50-D50</f>
        <v/>
      </c>
      <c r="H50" s="564" t="inlineStr">
        <is>
          <t>熠然5A3</t>
        </is>
      </c>
      <c r="I50" s="565" t="inlineStr">
        <is>
          <t>263739.SH</t>
        </is>
      </c>
      <c r="J50" s="464" t="n">
        <v>0.043</v>
      </c>
      <c r="K50" s="564" t="n">
        <v>700</v>
      </c>
      <c r="L50" s="564">
        <f>86.15-10.28</f>
        <v/>
      </c>
      <c r="M50" s="564">
        <f>L50+X50</f>
        <v/>
      </c>
      <c r="N50" s="564">
        <f>+M50*K50/100</f>
        <v/>
      </c>
      <c r="O50" s="117" t="n">
        <v>46099</v>
      </c>
      <c r="P50" s="150" t="n"/>
      <c r="Q50" s="0" t="inlineStr">
        <is>
          <t>28号</t>
        </is>
      </c>
      <c r="R50" s="0" t="inlineStr">
        <is>
          <t>NA</t>
        </is>
      </c>
      <c r="T50" s="201" t="n">
        <v>75.8655</v>
      </c>
      <c r="U50" s="150" t="n">
        <v>0.037565</v>
      </c>
      <c r="V50" s="0" t="inlineStr">
        <is>
          <t>AAA</t>
        </is>
      </c>
      <c r="W50" s="1" t="n">
        <v>46097</v>
      </c>
      <c r="X50" s="586">
        <f>+J50*(O50-W50+1)/365*100</f>
        <v/>
      </c>
      <c r="Y50" s="1" t="n">
        <v>45611</v>
      </c>
      <c r="AA50" s="1" t="n">
        <v>46703</v>
      </c>
      <c r="AB50" s="564" t="n">
        <v>75.72</v>
      </c>
      <c r="AC50" s="0" t="inlineStr">
        <is>
          <t>芜湖扬讯</t>
        </is>
      </c>
      <c r="AD50" s="0" t="inlineStr">
        <is>
          <t>苏信Z2501</t>
        </is>
      </c>
      <c r="AE50" s="0" t="inlineStr">
        <is>
          <t>熠然5A3[263739.SH]，700w，75.87，3月18日，芜湖扬讯 to 苏信Z2501</t>
        </is>
      </c>
    </row>
    <row r="51">
      <c r="A51" s="156" t="n"/>
      <c r="B51" s="112" t="n"/>
      <c r="C51" s="112" t="n"/>
      <c r="D51" s="112" t="n"/>
      <c r="E51" s="572">
        <f>+E50+C51-D51</f>
        <v/>
      </c>
      <c r="H51" s="564" t="inlineStr">
        <is>
          <t>熠然5A3</t>
        </is>
      </c>
      <c r="I51" s="565" t="inlineStr">
        <is>
          <t>263739.SH</t>
        </is>
      </c>
      <c r="J51" s="464" t="n">
        <v>0.043</v>
      </c>
      <c r="K51" s="564">
        <f>+K40-K50</f>
        <v/>
      </c>
      <c r="L51" s="564">
        <f>86.15-10.28</f>
        <v/>
      </c>
      <c r="M51" s="564">
        <f>L51+X51</f>
        <v/>
      </c>
      <c r="N51" s="564">
        <f>+M51*K51/100</f>
        <v/>
      </c>
      <c r="O51" s="117" t="n">
        <v>46099</v>
      </c>
      <c r="P51" s="150" t="n"/>
      <c r="Q51" s="0" t="inlineStr">
        <is>
          <t>一级</t>
        </is>
      </c>
      <c r="R51" s="0" t="inlineStr">
        <is>
          <t>NA</t>
        </is>
      </c>
      <c r="T51" s="201" t="n">
        <v>75.8655</v>
      </c>
      <c r="U51" s="150" t="n">
        <v>0.037565</v>
      </c>
      <c r="V51" s="0" t="inlineStr">
        <is>
          <t>AAA</t>
        </is>
      </c>
      <c r="W51" s="1" t="n">
        <v>46097</v>
      </c>
      <c r="X51" s="586">
        <f>+J51*(O51-W51+1)/365*100</f>
        <v/>
      </c>
      <c r="Y51" s="1" t="n">
        <v>45611</v>
      </c>
      <c r="AA51" s="1" t="n">
        <v>46703</v>
      </c>
      <c r="AB51" s="564" t="n">
        <v>75.72</v>
      </c>
      <c r="AC51" s="0" t="inlineStr">
        <is>
          <t>芜湖扬讯</t>
        </is>
      </c>
      <c r="AD51" s="0" t="inlineStr">
        <is>
          <t>苏信Z2501</t>
        </is>
      </c>
      <c r="AE51" s="0" t="inlineStr">
        <is>
          <t>熠然5A3[263739.SH]，685w，75.87，3月18日，芜湖扬讯 to 苏信Z2501</t>
        </is>
      </c>
    </row>
    <row r="52">
      <c r="A52" s="156" t="n">
        <v>46108</v>
      </c>
      <c r="B52" s="578" t="inlineStr">
        <is>
          <t>诚惠3B</t>
        </is>
      </c>
      <c r="C52" s="112" t="n"/>
      <c r="D52" s="112" t="n">
        <v>1006</v>
      </c>
      <c r="E52" s="572">
        <f>+E51+C52-D52</f>
        <v/>
      </c>
      <c r="F52" s="563" t="inlineStr">
        <is>
          <t>诚惠3B[266186.SH]，1000w，100.555，3月27日，天风证券 唐德婷qt 2885078648 to 苏信Z2501 徐健 qt455768073</t>
        </is>
      </c>
      <c r="P52" s="150" t="n"/>
      <c r="Q52" s="0" t="inlineStr">
        <is>
          <t>一级</t>
        </is>
      </c>
      <c r="R52" s="0" t="inlineStr">
        <is>
          <t>NA</t>
        </is>
      </c>
      <c r="T52" s="117" t="n">
        <v>46106</v>
      </c>
      <c r="U52" s="150" t="n"/>
      <c r="W52" s="1" t="n"/>
      <c r="X52" s="586">
        <f>+J72*(O71-W52+1)/365*100</f>
        <v/>
      </c>
      <c r="Y52" s="1" t="n"/>
      <c r="AA52" s="1" t="n"/>
      <c r="AB52" s="0" t="n">
        <v>100</v>
      </c>
    </row>
    <row r="53">
      <c r="A53" s="156" t="n">
        <v>46108</v>
      </c>
      <c r="B53" s="578" t="inlineStr">
        <is>
          <t>小鹏5B</t>
        </is>
      </c>
      <c r="C53" s="112" t="n"/>
      <c r="D53" s="112" t="n">
        <v>1500</v>
      </c>
      <c r="E53" s="591" t="n">
        <v>8170</v>
      </c>
      <c r="F53" s="563" t="inlineStr">
        <is>
          <t>小鹏5B[500446.SZ]，1500w，100.217，3月27日，天风证券 唐德婷qt 2885078648 to 苏信Z2501 徐健 qt455768073</t>
        </is>
      </c>
      <c r="H53" s="0" t="inlineStr">
        <is>
          <t>证券名称</t>
        </is>
      </c>
      <c r="I53" s="565" t="inlineStr">
        <is>
          <t>代码</t>
        </is>
      </c>
      <c r="J53" s="565" t="inlineStr">
        <is>
          <t>票息（预期）</t>
        </is>
      </c>
      <c r="K53" s="564" t="inlineStr">
        <is>
          <t>数量</t>
        </is>
      </c>
      <c r="L53" s="0" t="inlineStr">
        <is>
          <t>净价</t>
        </is>
      </c>
      <c r="M53" s="0" t="inlineStr">
        <is>
          <t>全价</t>
        </is>
      </c>
      <c r="N53" s="0" t="inlineStr">
        <is>
          <t>规模</t>
        </is>
      </c>
      <c r="O53" s="0" t="inlineStr">
        <is>
          <t>交易日期</t>
        </is>
      </c>
      <c r="P53" s="0" t="inlineStr">
        <is>
          <t>后手收益率</t>
        </is>
      </c>
      <c r="Q53" s="0" t="inlineStr">
        <is>
          <t>上家</t>
        </is>
      </c>
      <c r="R53" s="0" t="inlineStr">
        <is>
          <t>过桥</t>
        </is>
      </c>
      <c r="S53" s="0" t="inlineStr">
        <is>
          <t>过桥费</t>
        </is>
      </c>
      <c r="T53" s="0" t="inlineStr">
        <is>
          <t>中债估值</t>
        </is>
      </c>
      <c r="U53" s="0" t="inlineStr">
        <is>
          <t>估值后手收益率</t>
        </is>
      </c>
      <c r="V53" s="0" t="inlineStr">
        <is>
          <t>最新评级</t>
        </is>
      </c>
      <c r="W53" s="0" t="inlineStr">
        <is>
          <t>上个付息日</t>
        </is>
      </c>
      <c r="X53" s="0" t="inlineStr">
        <is>
          <t>应计利息</t>
        </is>
      </c>
      <c r="Y53" s="0" t="inlineStr">
        <is>
          <t>起息日</t>
        </is>
      </c>
      <c r="Z53" s="0" t="inlineStr">
        <is>
          <t>本金开始摊还日</t>
        </is>
      </c>
      <c r="AA53" s="0" t="inlineStr">
        <is>
          <t>预计到期日</t>
        </is>
      </c>
      <c r="AB53" s="0" t="inlineStr">
        <is>
          <t>剩余面值</t>
        </is>
      </c>
      <c r="AC53" s="0" t="inlineStr">
        <is>
          <t>卖家交易员</t>
        </is>
      </c>
      <c r="AD53" s="0" t="inlineStr">
        <is>
          <t>买家交易员</t>
        </is>
      </c>
      <c r="AE53" s="0" t="inlineStr">
        <is>
          <t>交易要素</t>
        </is>
      </c>
      <c r="AF53" s="0" t="inlineStr">
        <is>
          <t>上家</t>
        </is>
      </c>
      <c r="AG53" s="0" t="inlineStr">
        <is>
          <t>过券1</t>
        </is>
      </c>
      <c r="AH53" s="0" t="inlineStr">
        <is>
          <t>过券2</t>
        </is>
      </c>
    </row>
    <row r="54">
      <c r="A54" s="156" t="n">
        <v>46111</v>
      </c>
      <c r="B54" s="112" t="inlineStr">
        <is>
          <t>回款</t>
        </is>
      </c>
      <c r="C54" s="112" t="n">
        <v>182</v>
      </c>
      <c r="D54" s="112" t="n"/>
      <c r="E54" s="572">
        <f>+E53+C54-D54</f>
        <v/>
      </c>
      <c r="H54" s="564" t="inlineStr">
        <is>
          <t>诚惠3B</t>
        </is>
      </c>
      <c r="I54" s="0" t="inlineStr">
        <is>
          <t>266186.SH</t>
        </is>
      </c>
      <c r="J54" s="464" t="n">
        <v>0.033</v>
      </c>
      <c r="K54" s="564" t="n">
        <v>1000</v>
      </c>
      <c r="L54" s="579">
        <f>AH54</f>
        <v/>
      </c>
      <c r="M54" s="564">
        <f>L54+X54</f>
        <v/>
      </c>
      <c r="N54" s="564">
        <f>+M54*K54/100</f>
        <v/>
      </c>
      <c r="O54" s="117" t="n">
        <v>46108</v>
      </c>
      <c r="P54" s="150" t="n"/>
      <c r="Q54" s="0" t="inlineStr">
        <is>
          <t>26号</t>
        </is>
      </c>
      <c r="R54" s="0" t="inlineStr">
        <is>
          <t>芜湖扬讯</t>
        </is>
      </c>
      <c r="T54" s="201" t="n">
        <v>100.5482</v>
      </c>
      <c r="U54" s="150" t="n">
        <v>0.0294</v>
      </c>
      <c r="V54" s="0" t="inlineStr">
        <is>
          <t>AAA</t>
        </is>
      </c>
      <c r="W54" s="1" t="n">
        <v>46107</v>
      </c>
      <c r="X54" s="586">
        <f>+J54*(O54-W54+1)/365*100</f>
        <v/>
      </c>
      <c r="Y54" s="1" t="n">
        <v>45909</v>
      </c>
      <c r="AA54" s="1" t="n">
        <v>46686</v>
      </c>
      <c r="AB54" s="564" t="n">
        <v>100</v>
      </c>
      <c r="AC54" s="0" t="inlineStr">
        <is>
          <t>天风证券 唐德婷qt 2885078648</t>
        </is>
      </c>
      <c r="AD54" s="0" t="inlineStr">
        <is>
          <t>苏信Z2501 徐健 qt455768073</t>
        </is>
      </c>
      <c r="AE54" s="0">
        <f>H54&amp;"["&amp;I54&amp;"]，"&amp;K54&amp;"w，"&amp;L54&amp;"，"&amp;TEXT(O54,"m月d日")&amp;"，"&amp;AC54&amp;" to "&amp;AD54</f>
        <v/>
      </c>
      <c r="AF54" s="0" t="n">
        <v>100.54</v>
      </c>
      <c r="AG54" s="0">
        <f>+AF54+0.005</f>
        <v/>
      </c>
      <c r="AH54" s="616">
        <f>+AG54+0.01</f>
        <v/>
      </c>
    </row>
    <row r="55">
      <c r="A55" s="156" t="n"/>
      <c r="B55" s="112" t="n"/>
      <c r="C55" s="112" t="n"/>
      <c r="D55" s="112" t="n"/>
      <c r="E55" s="572">
        <f>+E54+C55-D55</f>
        <v/>
      </c>
      <c r="H55" s="564" t="inlineStr">
        <is>
          <t>小鹏5B</t>
        </is>
      </c>
      <c r="I55" s="0" t="inlineStr">
        <is>
          <t>500446.SZ</t>
        </is>
      </c>
      <c r="J55" s="464" t="n">
        <v>0.033</v>
      </c>
      <c r="K55" s="564" t="n">
        <v>1500</v>
      </c>
      <c r="L55" s="579">
        <f>AH55</f>
        <v/>
      </c>
      <c r="M55" s="564">
        <f>L55+X55</f>
        <v/>
      </c>
      <c r="N55" s="564">
        <f>+M55*K55/100</f>
        <v/>
      </c>
      <c r="O55" s="117" t="n">
        <v>46108</v>
      </c>
      <c r="P55" s="150" t="n"/>
      <c r="Q55" s="0" t="inlineStr">
        <is>
          <t>26号</t>
        </is>
      </c>
      <c r="R55" s="0" t="inlineStr">
        <is>
          <t>芜湖扬讯</t>
        </is>
      </c>
      <c r="T55" s="201" t="n">
        <v>100.2092</v>
      </c>
      <c r="U55" s="150" t="n">
        <v>0.0326</v>
      </c>
      <c r="V55" s="0" t="inlineStr">
        <is>
          <t>AA+</t>
        </is>
      </c>
      <c r="W55" s="1" t="n">
        <v>46066</v>
      </c>
      <c r="X55" s="586">
        <f>+J55*(O55-W55+1)/365*100</f>
        <v/>
      </c>
      <c r="Y55" s="1" t="n">
        <v>46066</v>
      </c>
      <c r="AA55" s="1" t="n">
        <v>47154</v>
      </c>
      <c r="AB55" s="564" t="n">
        <v>100</v>
      </c>
      <c r="AC55" s="0" t="inlineStr">
        <is>
          <t>天风证券 唐德婷qt 2885078648</t>
        </is>
      </c>
      <c r="AD55" s="0" t="inlineStr">
        <is>
          <t>苏信Z2501 徐健 qt455768073</t>
        </is>
      </c>
      <c r="AE55" s="0">
        <f>H55&amp;"["&amp;I55&amp;"]，"&amp;K55&amp;"w，"&amp;L55&amp;"，"&amp;TEXT(O55,"m月d日")&amp;"，"&amp;AC55&amp;" to "&amp;AD55</f>
        <v/>
      </c>
      <c r="AF55" s="0" t="n">
        <v>100.202</v>
      </c>
      <c r="AG55" s="0">
        <f>+AF55+0.005</f>
        <v/>
      </c>
      <c r="AH55" s="616">
        <f>+AG55+0.01</f>
        <v/>
      </c>
    </row>
    <row r="56">
      <c r="A56" s="156" t="n">
        <v>46112</v>
      </c>
      <c r="B56" s="112" t="inlineStr">
        <is>
          <t>鑫驰4B</t>
        </is>
      </c>
      <c r="C56" s="112" t="n"/>
      <c r="D56" s="112" t="n">
        <v>1002</v>
      </c>
      <c r="E56" s="572">
        <f>+E55+C56-D56</f>
        <v/>
      </c>
      <c r="L56" s="564" t="n"/>
    </row>
    <row r="57">
      <c r="A57" s="156" t="n"/>
      <c r="B57" s="112" t="n"/>
      <c r="C57" s="112" t="n"/>
      <c r="D57" s="112" t="n"/>
      <c r="E57" s="572">
        <f>+E56+C57-D57</f>
        <v/>
      </c>
    </row>
    <row r="58">
      <c r="A58" s="156" t="n"/>
      <c r="B58" s="112" t="n"/>
      <c r="C58" s="112" t="n"/>
      <c r="D58" s="112" t="n"/>
      <c r="E58" s="572">
        <f>+E57+C58-D58</f>
        <v/>
      </c>
      <c r="F58" s="201" t="inlineStr">
        <is>
          <t>如元康26号有需要，可以转让1-2000w过来</t>
        </is>
      </c>
      <c r="T58" s="579" t="n"/>
      <c r="U58" s="579" t="n"/>
    </row>
    <row r="59">
      <c r="A59" s="156" t="n"/>
      <c r="B59" s="112" t="n"/>
      <c r="C59" s="112" t="n"/>
      <c r="D59" s="112" t="n"/>
      <c r="E59" s="572">
        <f>+E58+C59-D59</f>
        <v/>
      </c>
      <c r="F59" s="201" t="n"/>
      <c r="T59" s="579" t="n"/>
      <c r="U59" s="579" t="n"/>
    </row>
    <row r="60">
      <c r="A60" s="156" t="n"/>
      <c r="B60" s="112" t="n"/>
      <c r="C60" s="112" t="n"/>
      <c r="D60" s="112" t="n"/>
      <c r="E60" s="591" t="n">
        <v>7369</v>
      </c>
      <c r="F60" s="201" t="n"/>
      <c r="T60" s="579" t="n"/>
      <c r="U60" s="579" t="n"/>
    </row>
    <row r="61">
      <c r="A61" s="156" t="n">
        <v>46127</v>
      </c>
      <c r="B61" s="112" t="inlineStr">
        <is>
          <t>回款</t>
        </is>
      </c>
      <c r="C61" s="112" t="n">
        <v>1727</v>
      </c>
      <c r="D61" s="112" t="n"/>
      <c r="E61" s="572">
        <f>+E60+C61-D61</f>
        <v/>
      </c>
      <c r="F61" s="201" t="n"/>
      <c r="H61" s="169" t="inlineStr">
        <is>
          <t>4-16交易</t>
        </is>
      </c>
      <c r="T61" s="117" t="n">
        <v>46125</v>
      </c>
      <c r="U61" s="579" t="n"/>
    </row>
    <row r="62">
      <c r="A62" s="156" t="n">
        <v>46128</v>
      </c>
      <c r="B62" s="112" t="inlineStr">
        <is>
          <t>申购</t>
        </is>
      </c>
      <c r="C62" s="112" t="n">
        <v>2691</v>
      </c>
      <c r="D62" s="112" t="n"/>
      <c r="E62" s="572">
        <f>+E61+C62-D62</f>
        <v/>
      </c>
      <c r="F62" s="201" t="n"/>
      <c r="H62" s="0" t="inlineStr">
        <is>
          <t>证券名称</t>
        </is>
      </c>
      <c r="I62" s="565" t="inlineStr">
        <is>
          <t>代码</t>
        </is>
      </c>
      <c r="J62" s="565" t="inlineStr">
        <is>
          <t>票息（预期）</t>
        </is>
      </c>
      <c r="K62" s="564" t="inlineStr">
        <is>
          <t>数量</t>
        </is>
      </c>
      <c r="L62" s="0" t="inlineStr">
        <is>
          <t>净价</t>
        </is>
      </c>
      <c r="M62" s="0" t="inlineStr">
        <is>
          <t>全价</t>
        </is>
      </c>
      <c r="N62" s="0" t="inlineStr">
        <is>
          <t>规模</t>
        </is>
      </c>
      <c r="O62" s="0" t="inlineStr">
        <is>
          <t>交易日期</t>
        </is>
      </c>
      <c r="P62" s="0" t="inlineStr">
        <is>
          <t>后手收益率</t>
        </is>
      </c>
      <c r="Q62" s="0" t="inlineStr">
        <is>
          <t>上家</t>
        </is>
      </c>
      <c r="R62" s="0" t="inlineStr">
        <is>
          <t>过桥</t>
        </is>
      </c>
      <c r="S62" s="0" t="inlineStr">
        <is>
          <t>过桥费</t>
        </is>
      </c>
      <c r="T62" s="0" t="inlineStr">
        <is>
          <t>中债估值</t>
        </is>
      </c>
      <c r="U62" s="0" t="inlineStr">
        <is>
          <t>估值后手收益率</t>
        </is>
      </c>
      <c r="V62" s="0" t="inlineStr">
        <is>
          <t>最新评级</t>
        </is>
      </c>
      <c r="W62" s="0" t="inlineStr">
        <is>
          <t>上个付息日</t>
        </is>
      </c>
      <c r="X62" s="0" t="inlineStr">
        <is>
          <t>应计利息</t>
        </is>
      </c>
      <c r="Y62" s="0" t="inlineStr">
        <is>
          <t>起息日</t>
        </is>
      </c>
      <c r="Z62" s="0" t="inlineStr">
        <is>
          <t>本金开始摊还日</t>
        </is>
      </c>
      <c r="AA62" s="0" t="inlineStr">
        <is>
          <t>预计到期日</t>
        </is>
      </c>
      <c r="AB62" s="0" t="inlineStr">
        <is>
          <t>剩余面值</t>
        </is>
      </c>
      <c r="AC62" s="0" t="inlineStr">
        <is>
          <t>卖家交易员</t>
        </is>
      </c>
      <c r="AD62" s="0" t="inlineStr">
        <is>
          <t>买家交易员</t>
        </is>
      </c>
      <c r="AE62" s="0" t="inlineStr">
        <is>
          <t>交易要素</t>
        </is>
      </c>
    </row>
    <row r="63">
      <c r="A63" s="156" t="n">
        <v>46128</v>
      </c>
      <c r="B63" s="112" t="n"/>
      <c r="C63" s="112" t="n"/>
      <c r="D63" s="112" t="n"/>
      <c r="E63" s="572">
        <f>+E62+C63-D63</f>
        <v/>
      </c>
      <c r="F63" s="201" t="n"/>
      <c r="H63" s="564" t="inlineStr">
        <is>
          <t>诚惠1B</t>
        </is>
      </c>
      <c r="I63" s="0" t="inlineStr">
        <is>
          <t>263867.SH</t>
        </is>
      </c>
      <c r="J63" s="464" t="n">
        <v>0.044</v>
      </c>
      <c r="K63" s="564" t="n">
        <v>300</v>
      </c>
      <c r="L63" s="564" t="n">
        <v>101.42</v>
      </c>
      <c r="M63" s="564">
        <f>L63+X63</f>
        <v/>
      </c>
      <c r="N63" s="564">
        <f>+M63*K63/100</f>
        <v/>
      </c>
      <c r="O63" s="117" t="n">
        <v>46128</v>
      </c>
      <c r="P63" s="150" t="n">
        <v>0.028</v>
      </c>
      <c r="Q63" s="0" t="inlineStr">
        <is>
          <t>26号</t>
        </is>
      </c>
      <c r="R63" s="0" t="inlineStr">
        <is>
          <t>芜湖扬讯</t>
        </is>
      </c>
      <c r="T63" s="201" t="n">
        <v>101.42</v>
      </c>
      <c r="U63" s="150" t="n">
        <v>0.028</v>
      </c>
      <c r="V63" s="0" t="inlineStr">
        <is>
          <t>AA+</t>
        </is>
      </c>
      <c r="W63" s="1" t="n">
        <v>46107</v>
      </c>
      <c r="X63" s="586">
        <f>AB63*J63*(O63-W63+1)/365</f>
        <v/>
      </c>
      <c r="Y63" s="1" t="n">
        <v>45624</v>
      </c>
      <c r="Z63" s="1" t="n"/>
      <c r="AA63" s="1" t="n">
        <v>46503</v>
      </c>
      <c r="AB63" s="564" t="n">
        <v>100</v>
      </c>
      <c r="AC63" s="0" t="inlineStr">
        <is>
          <t>【】</t>
        </is>
      </c>
      <c r="AD63" s="0" t="inlineStr">
        <is>
          <t>苏信Z2501</t>
        </is>
      </c>
      <c r="AE63" s="0">
        <f>H63&amp;"["&amp;I63&amp;"]，"&amp;K63&amp;"w，"&amp;L63&amp;"，"&amp;TEXT(O63,"m月d日")&amp;"，"&amp;AC63&amp;" to "&amp;AD63</f>
        <v/>
      </c>
    </row>
    <row r="64">
      <c r="A64" s="156" t="n">
        <v>46128</v>
      </c>
      <c r="B64" s="112" t="inlineStr">
        <is>
          <t>诚惠1B</t>
        </is>
      </c>
      <c r="C64" s="112" t="n"/>
      <c r="D64" s="112" t="n">
        <v>305</v>
      </c>
      <c r="E64" s="572">
        <f>+E63+C64-D64</f>
        <v/>
      </c>
      <c r="F64" s="617" t="inlineStr">
        <is>
          <t>诚惠1B[263867.SH]，300w，101.42，4月16日，粤开证券 许逸潇2881647849 to 苏信Z2501 徐健 qt455768073</t>
        </is>
      </c>
      <c r="H64" s="564" t="n"/>
      <c r="T64" s="579" t="n"/>
      <c r="U64" s="579" t="n"/>
    </row>
    <row r="65">
      <c r="A65" s="156" t="n"/>
      <c r="B65" s="112" t="n"/>
      <c r="C65" s="112" t="n"/>
      <c r="D65" s="112" t="n"/>
      <c r="E65" s="572">
        <f>+E64+C65-D65</f>
        <v/>
      </c>
      <c r="F65" s="563" t="n"/>
      <c r="T65" s="579" t="n"/>
      <c r="U65" s="579" t="n"/>
    </row>
    <row r="66">
      <c r="A66" s="156" t="n"/>
      <c r="B66" s="112" t="n"/>
      <c r="C66" s="112" t="n"/>
      <c r="D66" s="112" t="n"/>
      <c r="E66" s="572">
        <f>+E65+C66-D66</f>
        <v/>
      </c>
      <c r="F66" s="201" t="n"/>
      <c r="H66" s="169" t="inlineStr">
        <is>
          <t>4-21交易</t>
        </is>
      </c>
      <c r="T66" s="117" t="n">
        <v>46126</v>
      </c>
      <c r="U66" s="579" t="n"/>
    </row>
    <row r="67">
      <c r="A67" s="156" t="n"/>
      <c r="B67" s="112" t="n"/>
      <c r="C67" s="112" t="n"/>
      <c r="D67" s="112" t="n"/>
      <c r="E67" s="572">
        <f>+E66+C67-D67</f>
        <v/>
      </c>
      <c r="H67" s="0" t="inlineStr">
        <is>
          <t>证券名称</t>
        </is>
      </c>
      <c r="I67" s="565" t="inlineStr">
        <is>
          <t>代码</t>
        </is>
      </c>
      <c r="J67" s="565" t="inlineStr">
        <is>
          <t>票息（预期）</t>
        </is>
      </c>
      <c r="K67" s="564" t="inlineStr">
        <is>
          <t>数量</t>
        </is>
      </c>
      <c r="L67" s="0" t="inlineStr">
        <is>
          <t>净价</t>
        </is>
      </c>
      <c r="M67" s="0" t="inlineStr">
        <is>
          <t>全价</t>
        </is>
      </c>
      <c r="N67" s="0" t="inlineStr">
        <is>
          <t>规模</t>
        </is>
      </c>
      <c r="O67" s="0" t="inlineStr">
        <is>
          <t>交易日期</t>
        </is>
      </c>
      <c r="P67" s="0" t="inlineStr">
        <is>
          <t>后手收益率</t>
        </is>
      </c>
      <c r="Q67" s="0" t="inlineStr">
        <is>
          <t>上家</t>
        </is>
      </c>
      <c r="R67" s="0" t="inlineStr">
        <is>
          <t>过桥</t>
        </is>
      </c>
      <c r="S67" s="0" t="inlineStr">
        <is>
          <t>过桥费</t>
        </is>
      </c>
      <c r="T67" s="0" t="inlineStr">
        <is>
          <t>中债估值</t>
        </is>
      </c>
      <c r="U67" s="0" t="inlineStr">
        <is>
          <t>估值后手收益率</t>
        </is>
      </c>
      <c r="V67" s="0" t="inlineStr">
        <is>
          <t>最新评级</t>
        </is>
      </c>
      <c r="W67" s="0" t="inlineStr">
        <is>
          <t>上个付息日</t>
        </is>
      </c>
      <c r="X67" s="0" t="inlineStr">
        <is>
          <t>应计利息</t>
        </is>
      </c>
      <c r="Y67" s="0" t="inlineStr">
        <is>
          <t>起息日</t>
        </is>
      </c>
      <c r="Z67" s="0" t="inlineStr">
        <is>
          <t>本金开始摊还日</t>
        </is>
      </c>
      <c r="AA67" s="0" t="inlineStr">
        <is>
          <t>预计到期日</t>
        </is>
      </c>
      <c r="AB67" s="0" t="inlineStr">
        <is>
          <t>剩余面值</t>
        </is>
      </c>
      <c r="AC67" s="0" t="inlineStr">
        <is>
          <t>卖家交易员</t>
        </is>
      </c>
      <c r="AD67" s="0" t="inlineStr">
        <is>
          <t>买家交易员</t>
        </is>
      </c>
      <c r="AE67" s="0" t="inlineStr">
        <is>
          <t>交易要素</t>
        </is>
      </c>
    </row>
    <row r="68">
      <c r="A68" s="156" t="n">
        <v>46133</v>
      </c>
      <c r="B68" s="112" t="inlineStr">
        <is>
          <t>晨惠2期优先B</t>
        </is>
      </c>
      <c r="C68" s="112" t="n"/>
      <c r="D68" s="112" t="n">
        <v>700</v>
      </c>
      <c r="E68" s="572">
        <f>+E67+C68-D68</f>
        <v/>
      </c>
      <c r="F68" s="562" t="inlineStr">
        <is>
          <t>已发</t>
        </is>
      </c>
      <c r="G68" s="201" t="inlineStr">
        <is>
          <t>待确定要素</t>
        </is>
      </c>
      <c r="H68" s="564" t="inlineStr">
        <is>
          <t>朗煜1A3</t>
        </is>
      </c>
      <c r="I68" s="0" t="inlineStr">
        <is>
          <t>264213.SH</t>
        </is>
      </c>
      <c r="J68" s="464" t="n">
        <v>0.043</v>
      </c>
      <c r="K68" s="564" t="n">
        <v>400</v>
      </c>
      <c r="L68" s="564">
        <f>+T68-7.84+0.005</f>
        <v/>
      </c>
      <c r="M68" s="564">
        <f>L68+X68</f>
        <v/>
      </c>
      <c r="N68" s="564">
        <f>+M68*K68/100</f>
        <v/>
      </c>
      <c r="O68" s="117" t="n">
        <v>46133</v>
      </c>
      <c r="P68" s="150">
        <f>+U68</f>
        <v/>
      </c>
      <c r="Q68" s="0" t="inlineStr">
        <is>
          <t>26号</t>
        </is>
      </c>
      <c r="R68" s="0" t="inlineStr">
        <is>
          <t>芜湖扬讯</t>
        </is>
      </c>
      <c r="T68" s="201" t="n">
        <v>95.4196</v>
      </c>
      <c r="U68" s="150" t="n">
        <v>0.0376</v>
      </c>
      <c r="V68" s="0" t="inlineStr">
        <is>
          <t>AAA</t>
        </is>
      </c>
      <c r="W68" s="1" t="n">
        <v>46127</v>
      </c>
      <c r="X68" s="586">
        <f>AB68*J68*(O68-W68+1)/365</f>
        <v/>
      </c>
      <c r="Y68" s="1" t="n">
        <v>45678</v>
      </c>
      <c r="Z68" s="1" t="n">
        <v>46097</v>
      </c>
      <c r="AA68" s="1" t="n">
        <v>46736</v>
      </c>
      <c r="AB68" s="564" t="n">
        <v>87.33</v>
      </c>
      <c r="AC68" s="0" t="inlineStr">
        <is>
          <t>【】</t>
        </is>
      </c>
      <c r="AD68" s="0" t="inlineStr">
        <is>
          <t>苏信Z2501</t>
        </is>
      </c>
      <c r="AE68" s="0">
        <f>H68&amp;"["&amp;I68&amp;"]，"&amp;K68&amp;"w，"&amp;L68&amp;"，"&amp;TEXT(O68,"m月d日")&amp;"，"&amp;AC68&amp;" to "&amp;AD68</f>
        <v/>
      </c>
    </row>
    <row r="69">
      <c r="A69" s="156" t="n"/>
      <c r="B69" s="578" t="n"/>
      <c r="C69" s="578" t="n"/>
      <c r="D69" s="455" t="n"/>
      <c r="E69" s="572">
        <f>+E68+C69-D69</f>
        <v/>
      </c>
    </row>
    <row r="70">
      <c r="A70" s="156" t="n">
        <v>46134</v>
      </c>
      <c r="B70" s="578" t="inlineStr">
        <is>
          <t>鑫驰5B</t>
        </is>
      </c>
      <c r="C70" s="578" t="n"/>
      <c r="D70" s="578" t="n">
        <v>500</v>
      </c>
      <c r="E70" s="572">
        <f>+E69+C70-D70</f>
        <v/>
      </c>
      <c r="F70" s="617" t="inlineStr">
        <is>
          <t>鑫驰5B，500701.SZ，500w，3.15%，4-22缴款，4-23起息，苏信添利2501</t>
        </is>
      </c>
    </row>
    <row r="71">
      <c r="A71" s="156" t="n">
        <v>46134</v>
      </c>
      <c r="B71" s="578" t="inlineStr">
        <is>
          <t>回款</t>
        </is>
      </c>
      <c r="C71" s="578" t="n">
        <v>456</v>
      </c>
      <c r="D71" s="455" t="n"/>
      <c r="E71" s="572">
        <f>+E70+C71-D71</f>
        <v/>
      </c>
      <c r="O71" s="117" t="n"/>
    </row>
    <row r="72">
      <c r="A72" s="156" t="n">
        <v>46136</v>
      </c>
      <c r="B72" s="578" t="inlineStr">
        <is>
          <t>盛煜013C</t>
        </is>
      </c>
      <c r="C72" s="123" t="n">
        <v>2076.52</v>
      </c>
      <c r="D72" s="578" t="n"/>
      <c r="E72" s="572" t="n">
        <v>12823</v>
      </c>
      <c r="G72" s="337" t="n"/>
      <c r="H72" s="564" t="n"/>
      <c r="J72" s="334" t="n"/>
      <c r="K72" s="564" t="n"/>
      <c r="L72" s="564" t="n"/>
      <c r="N72" s="564" t="n"/>
    </row>
    <row r="73">
      <c r="A73" s="156" t="n"/>
      <c r="B73" s="112" t="n"/>
      <c r="C73" s="480" t="n"/>
      <c r="D73" s="112" t="n"/>
      <c r="E73" s="572">
        <f>+E72+C73-D73</f>
        <v/>
      </c>
      <c r="N73" s="597" t="n"/>
    </row>
    <row r="74">
      <c r="A74" s="156" t="n">
        <v>46139</v>
      </c>
      <c r="B74" s="112" t="inlineStr">
        <is>
          <t>熠安02A3</t>
        </is>
      </c>
      <c r="C74" s="480">
        <f>2300*52.5188%</f>
        <v/>
      </c>
      <c r="D74" s="112" t="n"/>
      <c r="E74" s="572">
        <f>+E73+C74-D74</f>
        <v/>
      </c>
      <c r="F74" s="617" t="inlineStr">
        <is>
          <t>熠安02A3[144651.SZ]，2300w，52.5188，4月27日，苏信 徐健 xuj@trustsz.com to 中信证券 赵恒昆 zhaohengkun@citics.com</t>
        </is>
      </c>
    </row>
    <row r="75">
      <c r="A75" s="156" t="n">
        <v>46140</v>
      </c>
      <c r="B75" s="578" t="inlineStr">
        <is>
          <t>回款</t>
        </is>
      </c>
      <c r="C75" s="480" t="n">
        <v>1683</v>
      </c>
      <c r="D75" s="112" t="n"/>
      <c r="E75" s="572">
        <f>+E74+C75-D75</f>
        <v/>
      </c>
    </row>
    <row r="76">
      <c r="A76" s="156" t="n">
        <v>46139</v>
      </c>
      <c r="B76" s="112" t="inlineStr">
        <is>
          <t>国金保理优A</t>
        </is>
      </c>
      <c r="C76" s="112" t="n"/>
      <c r="D76" s="112" t="n">
        <v>1000</v>
      </c>
      <c r="E76" s="572">
        <f>+E75+C76-D76</f>
        <v/>
      </c>
      <c r="F76" s="562" t="inlineStr">
        <is>
          <t>已发</t>
        </is>
      </c>
    </row>
    <row r="77">
      <c r="A77" s="156" t="n"/>
      <c r="B77" s="578" t="n"/>
      <c r="C77" s="578" t="n"/>
      <c r="D77" s="455" t="n"/>
      <c r="E77" s="572">
        <f>+E76+C77-D77</f>
        <v/>
      </c>
    </row>
    <row r="78">
      <c r="A78" s="156" t="n">
        <v>46141</v>
      </c>
      <c r="B78" s="578" t="inlineStr">
        <is>
          <t>启恒2期优先B</t>
        </is>
      </c>
      <c r="C78" s="112" t="n"/>
      <c r="D78" s="112" t="n">
        <v>800</v>
      </c>
      <c r="E78" s="572">
        <f>+E77+C78-D78</f>
        <v/>
      </c>
      <c r="F78" s="617" t="inlineStr">
        <is>
          <t>启恒2B，500690.SZ，苏信2501，800w，3.0%，4月29日缴款、4月30日设立</t>
        </is>
      </c>
    </row>
    <row r="79">
      <c r="A79" s="156" t="n"/>
      <c r="B79" s="112" t="n"/>
      <c r="C79" s="112" t="n"/>
      <c r="D79" s="112" t="n"/>
      <c r="E79" s="572">
        <f>+E78+C79-D79</f>
        <v/>
      </c>
      <c r="G79" s="337" t="n"/>
      <c r="H79" s="564" t="n"/>
      <c r="J79" s="464" t="n"/>
      <c r="K79" s="564" t="n"/>
      <c r="L79" s="564" t="n"/>
      <c r="N79" s="564" t="n"/>
    </row>
    <row r="80">
      <c r="A80" s="110" t="n">
        <v>46141</v>
      </c>
      <c r="B80" s="112" t="inlineStr">
        <is>
          <t>蔚能A3</t>
        </is>
      </c>
      <c r="C80" s="112" t="n"/>
      <c r="D80" s="112" t="n">
        <v>3500</v>
      </c>
      <c r="E80" s="572">
        <f>+E79+C80-D80</f>
        <v/>
      </c>
      <c r="F80" s="562" t="inlineStr">
        <is>
          <t>已发</t>
        </is>
      </c>
    </row>
    <row r="81">
      <c r="A81" s="156" t="n">
        <v>46141</v>
      </c>
      <c r="B81" s="112" t="inlineStr">
        <is>
          <t>狮桥兑付</t>
        </is>
      </c>
      <c r="C81" s="112" t="n">
        <v>7.63</v>
      </c>
      <c r="D81" s="112" t="n"/>
      <c r="E81" s="572">
        <f>+E80+C81-D81</f>
        <v/>
      </c>
    </row>
    <row r="82">
      <c r="A82" s="156" t="n"/>
      <c r="B82" s="112" t="n"/>
      <c r="C82" s="112" t="n"/>
      <c r="D82" s="112" t="n"/>
      <c r="E82" s="572">
        <f>+E81+C82-D82</f>
        <v/>
      </c>
    </row>
    <row r="83">
      <c r="A83" s="156" t="n">
        <v>46153</v>
      </c>
      <c r="B83" s="112" t="inlineStr">
        <is>
          <t>回款</t>
        </is>
      </c>
      <c r="C83" s="112" t="n">
        <v>16</v>
      </c>
      <c r="D83" s="112" t="n"/>
      <c r="E83" s="572">
        <f>+E82+C83-D83</f>
        <v/>
      </c>
    </row>
    <row r="84">
      <c r="A84" s="156" t="n">
        <v>46154</v>
      </c>
      <c r="B84" s="112" t="inlineStr">
        <is>
          <t>诚远3期</t>
        </is>
      </c>
      <c r="C84" s="112" t="n"/>
      <c r="D84" s="112" t="n">
        <v>1500</v>
      </c>
      <c r="E84" s="572">
        <f>+E83+C84-D84</f>
        <v/>
      </c>
      <c r="F84" s="617" t="inlineStr">
        <is>
          <t>5/12，诚远3期优先B[500665.SZ]，1500w，净价100，渣打证券 计艳杰 to 芜湖元康 Z06308，刘靖涛qt3003993899</t>
        </is>
      </c>
    </row>
    <row r="85">
      <c r="A85" s="156" t="n"/>
      <c r="B85" s="112" t="n"/>
      <c r="C85" s="112" t="n"/>
      <c r="D85" s="112" t="n"/>
      <c r="E85" s="572">
        <f>+E84+C85-D85</f>
        <v/>
      </c>
    </row>
    <row r="86">
      <c r="A86" s="156" t="n">
        <v>46157</v>
      </c>
      <c r="B86" s="112" t="inlineStr">
        <is>
          <t>平安普惠回款</t>
        </is>
      </c>
      <c r="C86" s="112" t="n">
        <v>1562</v>
      </c>
      <c r="D86" s="112" t="n"/>
      <c r="E86" s="572">
        <f>+E85+C86-D86</f>
        <v/>
      </c>
    </row>
    <row r="87">
      <c r="A87" s="156" t="n">
        <v>46157</v>
      </c>
      <c r="B87" s="112" t="inlineStr">
        <is>
          <t>赎回</t>
        </is>
      </c>
      <c r="C87" s="112" t="n"/>
      <c r="D87" s="112">
        <f>12330*1.027-5350</f>
        <v/>
      </c>
      <c r="E87" s="572">
        <f>+E86+C87-D87</f>
        <v/>
      </c>
    </row>
    <row r="88">
      <c r="A88" s="156" t="n"/>
      <c r="B88" s="112" t="n"/>
      <c r="C88" s="112" t="n"/>
      <c r="D88" s="112" t="n"/>
      <c r="E88" s="572">
        <f>+E87+C88-D88</f>
        <v/>
      </c>
    </row>
    <row r="89">
      <c r="A89" s="156" t="n">
        <v>46160</v>
      </c>
      <c r="B89" s="112" t="inlineStr">
        <is>
          <t>国健租赁优先级B</t>
        </is>
      </c>
      <c r="C89" s="112" t="n"/>
      <c r="D89" s="112" t="n">
        <v>1000</v>
      </c>
      <c r="E89" s="572">
        <f>+E88+C89-D89</f>
        <v/>
      </c>
      <c r="F89" s="617" t="inlineStr">
        <is>
          <t>5/18缴款，5/19起息，国健11B，268605.SH，1000w，3%，苏信Z2501</t>
        </is>
      </c>
    </row>
    <row r="90">
      <c r="E90" s="563">
        <f>+E89+C90-D90</f>
        <v/>
      </c>
    </row>
    <row r="91">
      <c r="B91" s="585" t="n"/>
      <c r="C91" s="585" t="n"/>
      <c r="D91" s="585" t="n"/>
      <c r="E91" s="563">
        <f>+E90+C91-D91</f>
        <v/>
      </c>
      <c r="G91" s="0" t="inlineStr">
        <is>
          <t>出券</t>
        </is>
      </c>
    </row>
    <row r="92">
      <c r="E92" s="563">
        <f>+E91+C92-D92</f>
        <v/>
      </c>
    </row>
    <row r="93">
      <c r="E93" s="563">
        <f>+E92+C93-D93</f>
        <v/>
      </c>
    </row>
    <row r="94">
      <c r="E94" s="563">
        <f>+E93+C94-D94</f>
        <v/>
      </c>
      <c r="F94" s="0" t="inlineStr">
        <is>
          <t>流动性诉求</t>
        </is>
      </c>
      <c r="G94" s="563">
        <f>+(81529-6850)*0.1</f>
        <v/>
      </c>
    </row>
    <row r="95">
      <c r="B95" s="0" t="inlineStr">
        <is>
          <t>预期底层分配</t>
        </is>
      </c>
      <c r="C95" s="0" t="n">
        <v>1000</v>
      </c>
      <c r="E95" s="563">
        <f>+E94+C95-D95</f>
        <v/>
      </c>
      <c r="I95" s="565" t="inlineStr">
        <is>
          <t>苏信2501</t>
        </is>
      </c>
      <c r="J95" s="565" t="inlineStr">
        <is>
          <t>尚赢2-6</t>
        </is>
      </c>
      <c r="K95" s="564" t="n">
        <v>2000</v>
      </c>
      <c r="L95" s="150" t="n">
        <v>0.031</v>
      </c>
    </row>
    <row r="96">
      <c r="E96" s="563">
        <f>+E95+C96-D96</f>
        <v/>
      </c>
      <c r="I96" s="565" t="inlineStr">
        <is>
          <t>苏信2501</t>
        </is>
      </c>
      <c r="J96" s="565" t="inlineStr">
        <is>
          <t>诚瑞4期ABS</t>
        </is>
      </c>
      <c r="K96" s="564" t="n">
        <v>2000</v>
      </c>
      <c r="L96" s="150" t="n">
        <v>0.03</v>
      </c>
    </row>
    <row r="97">
      <c r="B97" s="585" t="n"/>
      <c r="C97" s="585" t="n"/>
      <c r="D97" s="201" t="n"/>
      <c r="E97" s="563">
        <f>+E96+C97-D97</f>
        <v/>
      </c>
      <c r="I97" s="565" t="inlineStr">
        <is>
          <t>苏信2501</t>
        </is>
      </c>
      <c r="J97" s="565" t="inlineStr">
        <is>
          <t>尚乘1期abs</t>
        </is>
      </c>
      <c r="K97" s="564" t="n">
        <v>2000</v>
      </c>
      <c r="L97" s="150" t="n">
        <v>0.032</v>
      </c>
    </row>
    <row r="98">
      <c r="B98" s="201" t="n"/>
      <c r="C98" s="201" t="n"/>
      <c r="D98" s="201" t="n"/>
      <c r="E98" s="563">
        <f>+E97+C98-D98</f>
        <v/>
      </c>
    </row>
    <row r="99">
      <c r="B99" s="201" t="n"/>
      <c r="C99" s="201" t="n"/>
      <c r="D99" s="201" t="n"/>
      <c r="E99" s="563">
        <f>+E98+C99-D99</f>
        <v/>
      </c>
      <c r="K99" s="587">
        <f>SUM(K95:K97)</f>
        <v/>
      </c>
      <c r="L99" s="215">
        <f>SUMPRODUCT(L95:L97,K95:K97)/K99</f>
        <v/>
      </c>
    </row>
    <row r="100">
      <c r="E100" s="563">
        <f>+E99+C100-D100</f>
        <v/>
      </c>
    </row>
    <row r="101">
      <c r="B101" s="0" t="inlineStr">
        <is>
          <t>搭售优先级</t>
        </is>
      </c>
      <c r="D101" s="0" t="n">
        <v>3000</v>
      </c>
      <c r="E101" s="563">
        <f>+E100+C101-D101</f>
        <v/>
      </c>
    </row>
    <row r="102">
      <c r="E102" s="563">
        <f>+E101+C102-D102</f>
        <v/>
      </c>
    </row>
    <row r="103">
      <c r="E103" s="563">
        <f>+E102+C103-D103</f>
        <v/>
      </c>
    </row>
    <row r="104">
      <c r="E104" s="563">
        <f>+E103+C104-D104</f>
        <v/>
      </c>
    </row>
  </sheetData>
  <conditionalFormatting sqref="E1:E1048576">
    <cfRule type="cellIs" priority="1" operator="lessThan" dxfId="0">
      <formula>0</formula>
    </cfRule>
  </conditionalFormatting>
  <pageMargins left="0.7" right="0.7" top="0.75" bottom="0.75" header="0.3" footer="0.3"/>
</worksheet>
</file>

<file path=xl/worksheets/sheet12.xml><?xml version="1.0" encoding="utf-8"?>
<worksheet xmlns="http://schemas.openxmlformats.org/spreadsheetml/2006/main">
  <sheetPr codeName="Sheet6">
    <outlinePr summaryBelow="1" summaryRight="1"/>
    <pageSetUpPr/>
  </sheetPr>
  <dimension ref="A1:AK127"/>
  <sheetViews>
    <sheetView workbookViewId="0">
      <pane ySplit="2" topLeftCell="A84" activePane="bottomLeft" state="frozen"/>
      <selection pane="bottomLeft" activeCell="E1" sqref="E1:E1048576"/>
    </sheetView>
  </sheetViews>
  <sheetFormatPr baseColWidth="8" defaultRowHeight="16.5"/>
  <cols>
    <col width="10" bestFit="1" customWidth="1" style="4" min="1" max="1"/>
    <col width="9.5" customWidth="1" style="326" min="2" max="2"/>
    <col width="7.75" customWidth="1" style="326" min="3" max="3"/>
    <col width="9.25" customWidth="1" style="326" min="4" max="4"/>
    <col width="8.75" bestFit="1" customWidth="1" style="563" min="5" max="5"/>
    <col width="11.125" bestFit="1" customWidth="1" style="326" min="8" max="8"/>
    <col width="10.25" bestFit="1" customWidth="1" style="564" min="9" max="9"/>
    <col width="9.875" bestFit="1" customWidth="1" style="565" min="10" max="10"/>
    <col width="10.875" customWidth="1" style="565" min="11" max="11"/>
    <col width="12.375" customWidth="1" style="565" min="12" max="12"/>
    <col width="10.25" bestFit="1" customWidth="1" style="564" min="13" max="13"/>
    <col width="11.25" customWidth="1" style="326" min="14" max="14"/>
    <col width="11.125" bestFit="1" customWidth="1" style="326" min="15" max="15"/>
    <col width="10.25" bestFit="1" customWidth="1" style="326" min="16" max="16"/>
    <col width="10" bestFit="1" customWidth="1" style="326" min="17" max="17"/>
    <col width="10.375" customWidth="1" style="326" min="18" max="18"/>
    <col width="10.125" customWidth="1" style="326" min="19" max="19"/>
    <col width="8.625" customWidth="1" style="326" min="20" max="20"/>
    <col width="10.25" customWidth="1" style="326" min="21" max="21"/>
    <col width="11.125" bestFit="1" customWidth="1" style="326" min="23" max="23"/>
    <col width="10.125" customWidth="1" style="326" min="25" max="25"/>
    <col width="11.25" bestFit="1" customWidth="1" style="326" min="26" max="26"/>
    <col width="11.5" customWidth="1" style="326" min="27" max="27"/>
    <col width="11.125" bestFit="1" customWidth="1" style="326" min="28" max="30"/>
  </cols>
  <sheetData>
    <row r="1" ht="14.1" customHeight="1" s="326">
      <c r="A1" s="125"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4" t="n">
        <v>46023</v>
      </c>
      <c r="E3" s="563" t="n">
        <v>202</v>
      </c>
    </row>
    <row r="4">
      <c r="A4" s="211" t="n">
        <v>46031</v>
      </c>
      <c r="B4" s="112" t="inlineStr">
        <is>
          <t>4美意6次</t>
        </is>
      </c>
      <c r="C4" s="112" t="n"/>
      <c r="D4" s="112">
        <f>100*1.08648</f>
        <v/>
      </c>
      <c r="E4" s="572">
        <f>E3+C4-D4</f>
        <v/>
      </c>
      <c r="F4" s="0" t="inlineStr">
        <is>
          <t>4美意6次 (262764.SH)，100w，全价108.648，2026-1-9，国泰海通 樊文娟 to 苏信财富组合添利Z2502集合资金信托计划 徐健</t>
        </is>
      </c>
    </row>
    <row r="5">
      <c r="A5" s="211" t="n"/>
      <c r="B5" s="112" t="n"/>
      <c r="C5" s="112" t="n"/>
      <c r="D5" s="112" t="n"/>
      <c r="E5" s="572">
        <f>E4+C5-D5</f>
        <v/>
      </c>
    </row>
    <row r="6">
      <c r="A6" s="211" t="n"/>
      <c r="B6" s="112" t="n"/>
      <c r="C6" s="112" t="n"/>
      <c r="D6" s="112" t="n"/>
      <c r="E6" s="572" t="n">
        <v>94</v>
      </c>
    </row>
    <row r="7">
      <c r="A7" s="211" t="n"/>
      <c r="B7" s="126" t="n"/>
      <c r="C7" s="112" t="n"/>
      <c r="D7" s="112" t="n"/>
      <c r="E7" s="572">
        <f>E6+C7-D7</f>
        <v/>
      </c>
      <c r="F7" s="0" t="inlineStr">
        <is>
          <t>待定</t>
        </is>
      </c>
      <c r="J7" s="565" t="inlineStr">
        <is>
          <t>1月份排券计划</t>
        </is>
      </c>
    </row>
    <row r="8">
      <c r="A8" s="211" t="n"/>
      <c r="B8" s="112" t="n"/>
      <c r="C8" s="112" t="n"/>
      <c r="D8" s="112" t="n"/>
      <c r="E8" s="572">
        <f>E7+C8-D8</f>
        <v/>
      </c>
      <c r="F8" s="0" t="inlineStr">
        <is>
          <t>待定</t>
        </is>
      </c>
      <c r="J8" s="0" t="inlineStr">
        <is>
          <t>证券名称</t>
        </is>
      </c>
      <c r="K8" s="565" t="inlineStr">
        <is>
          <t>代码</t>
        </is>
      </c>
      <c r="L8" s="565" t="inlineStr">
        <is>
          <t>票息（预期）</t>
        </is>
      </c>
      <c r="M8" s="564" t="inlineStr">
        <is>
          <t>数量</t>
        </is>
      </c>
      <c r="N8" s="0" t="inlineStr">
        <is>
          <t>净价</t>
        </is>
      </c>
      <c r="O8" s="0" t="inlineStr">
        <is>
          <t>全价</t>
        </is>
      </c>
      <c r="P8" s="0" t="inlineStr">
        <is>
          <t>规模</t>
        </is>
      </c>
      <c r="Q8" s="0" t="inlineStr">
        <is>
          <t>交易日期</t>
        </is>
      </c>
      <c r="R8" s="0" t="inlineStr">
        <is>
          <t>后手收益率</t>
        </is>
      </c>
      <c r="S8" s="0" t="inlineStr">
        <is>
          <t>上家</t>
        </is>
      </c>
      <c r="T8" s="0" t="inlineStr">
        <is>
          <t>过桥</t>
        </is>
      </c>
      <c r="U8" s="0" t="inlineStr">
        <is>
          <t>过桥费</t>
        </is>
      </c>
      <c r="V8" s="0" t="inlineStr">
        <is>
          <t>最新估值</t>
        </is>
      </c>
      <c r="W8" s="0" t="inlineStr">
        <is>
          <t>估值日期</t>
        </is>
      </c>
      <c r="X8" s="0" t="inlineStr">
        <is>
          <t>估值后手收益率</t>
        </is>
      </c>
      <c r="Y8" s="0" t="inlineStr">
        <is>
          <t>最新评级</t>
        </is>
      </c>
      <c r="Z8" s="0" t="inlineStr">
        <is>
          <t>上个付息日</t>
        </is>
      </c>
      <c r="AA8" s="0" t="inlineStr">
        <is>
          <t>应计利息</t>
        </is>
      </c>
      <c r="AB8" s="0" t="inlineStr">
        <is>
          <t>起息日</t>
        </is>
      </c>
      <c r="AC8" s="0" t="inlineStr">
        <is>
          <t>本金开始摊还日</t>
        </is>
      </c>
      <c r="AD8" s="0" t="inlineStr">
        <is>
          <t>预计到期日</t>
        </is>
      </c>
      <c r="AE8" s="0" t="inlineStr">
        <is>
          <t>剩余面值</t>
        </is>
      </c>
    </row>
    <row r="9">
      <c r="A9" s="211" t="n"/>
      <c r="B9" s="112" t="n"/>
      <c r="C9" s="112" t="n"/>
      <c r="D9" s="112" t="n"/>
      <c r="E9" s="572">
        <f>E8+C9-D9</f>
        <v/>
      </c>
      <c r="J9" s="200" t="inlineStr">
        <is>
          <t>启悦15次</t>
        </is>
      </c>
      <c r="K9" s="565" t="inlineStr">
        <is>
          <t>146285.SZ</t>
        </is>
      </c>
      <c r="L9" s="464" t="n">
        <v>0.07000000000000001</v>
      </c>
      <c r="M9" s="564" t="n">
        <v>500</v>
      </c>
      <c r="O9" s="0">
        <f>ROUND(V9*(1+6.5%/365*(Q9-W9)),3)+U9</f>
        <v/>
      </c>
      <c r="P9" s="573">
        <f>O9*M9/100</f>
        <v/>
      </c>
      <c r="Q9" s="117" t="n">
        <v>46041</v>
      </c>
      <c r="R9" s="464" t="n">
        <v>0.07000000000000001</v>
      </c>
      <c r="S9" s="0" t="inlineStr">
        <is>
          <t>28号</t>
        </is>
      </c>
      <c r="T9" s="0" t="inlineStr">
        <is>
          <t>扬讯</t>
        </is>
      </c>
      <c r="U9" s="0" t="n">
        <v>0.01</v>
      </c>
      <c r="V9" s="0" t="n">
        <v>103.5134</v>
      </c>
      <c r="W9" s="117" t="n">
        <v>46036</v>
      </c>
      <c r="X9" s="146" t="n">
        <v>0.07000000000000001</v>
      </c>
    </row>
    <row r="10">
      <c r="A10" s="156" t="n"/>
      <c r="B10" s="112" t="n"/>
      <c r="C10" s="112" t="n"/>
      <c r="D10" s="112" t="n"/>
      <c r="E10" s="572">
        <f>E9+C10-D10</f>
        <v/>
      </c>
      <c r="J10" s="565" t="inlineStr">
        <is>
          <t>启悦16次</t>
        </is>
      </c>
      <c r="K10" s="152" t="inlineStr">
        <is>
          <t>146761.SZ</t>
        </is>
      </c>
      <c r="L10" s="575" t="n">
        <v>0.065</v>
      </c>
      <c r="M10" s="564" t="n">
        <v>300</v>
      </c>
      <c r="O10" s="0">
        <f>ROUND(V10*(1+6.5%/365*(Q10-W10)),3)+U10</f>
        <v/>
      </c>
      <c r="P10" s="573">
        <f>O10*M10/100</f>
        <v/>
      </c>
      <c r="Q10" s="117" t="n">
        <v>46041</v>
      </c>
      <c r="R10" s="464" t="n">
        <v>0.0664</v>
      </c>
      <c r="S10" s="0" t="inlineStr">
        <is>
          <t>28号</t>
        </is>
      </c>
      <c r="T10" s="0" t="inlineStr">
        <is>
          <t>扬讯</t>
        </is>
      </c>
      <c r="U10" s="0" t="n">
        <v>0.01</v>
      </c>
      <c r="V10" s="0" t="n">
        <v>102.5881</v>
      </c>
      <c r="W10" s="117" t="n">
        <v>46036</v>
      </c>
      <c r="X10" s="150" t="n">
        <v>0.0665</v>
      </c>
      <c r="Z10" s="117" t="inlineStr">
        <is>
          <t>na</t>
        </is>
      </c>
      <c r="AB10" s="1" t="n">
        <v>45888</v>
      </c>
      <c r="AC10" s="1" t="n">
        <v>46468</v>
      </c>
      <c r="AD10" s="1" t="n">
        <v>46590</v>
      </c>
      <c r="AE10" s="0" t="n">
        <v>100</v>
      </c>
      <c r="AF10" s="0" t="inlineStr">
        <is>
          <t>按预计估值，平价出</t>
        </is>
      </c>
      <c r="AG10" s="573" t="n"/>
    </row>
    <row r="11">
      <c r="A11" s="156" t="n"/>
      <c r="B11" s="112" t="n"/>
      <c r="C11" s="112" t="n"/>
      <c r="D11" s="112" t="n"/>
      <c r="E11" s="572">
        <f>+E10+C11-D11</f>
        <v/>
      </c>
      <c r="J11" s="565" t="inlineStr">
        <is>
          <t>熹焱03A3</t>
        </is>
      </c>
      <c r="K11" s="565" t="inlineStr">
        <is>
          <t>144237.SZ</t>
        </is>
      </c>
      <c r="L11" s="575" t="n">
        <v>0.047</v>
      </c>
      <c r="M11" s="564" t="n">
        <v>1000</v>
      </c>
      <c r="N11" s="0" t="n">
        <v>38.56</v>
      </c>
      <c r="O11" s="0">
        <f>N11+U11+AA11</f>
        <v/>
      </c>
      <c r="P11" s="573">
        <f>O11*M11/100</f>
        <v/>
      </c>
      <c r="Q11" s="117" t="n">
        <v>46041</v>
      </c>
      <c r="R11" s="464" t="n">
        <v>0.044</v>
      </c>
      <c r="S11" s="0" t="inlineStr">
        <is>
          <t>28号</t>
        </is>
      </c>
      <c r="T11" s="0" t="inlineStr">
        <is>
          <t>扬讯</t>
        </is>
      </c>
      <c r="U11" s="0" t="n">
        <v>0.01</v>
      </c>
      <c r="V11" s="0" t="n">
        <v>38.562</v>
      </c>
      <c r="W11" s="117" t="n">
        <v>46037</v>
      </c>
      <c r="X11" s="150" t="n">
        <v>0.03873</v>
      </c>
      <c r="Y11" s="0" t="inlineStr">
        <is>
          <t>AAA</t>
        </is>
      </c>
      <c r="Z11" s="117" t="n">
        <v>46037</v>
      </c>
      <c r="AA11" s="586">
        <f>AE11*L11/365*(Q11-Z11+1)</f>
        <v/>
      </c>
      <c r="AB11" s="1" t="n">
        <v>45439</v>
      </c>
      <c r="AC11" s="1" t="n">
        <v>45915</v>
      </c>
      <c r="AD11" s="1" t="n">
        <v>46310</v>
      </c>
      <c r="AE11" s="0" t="n">
        <v>38.5</v>
      </c>
      <c r="AF11" s="0" t="inlineStr">
        <is>
          <t>根据估值出</t>
        </is>
      </c>
      <c r="AG11" s="573">
        <f>(V11-N11)*M11*100</f>
        <v/>
      </c>
    </row>
    <row r="12">
      <c r="A12" s="156" t="n"/>
      <c r="B12" s="112" t="n"/>
      <c r="C12" s="112" t="n"/>
      <c r="D12" s="112" t="n"/>
      <c r="E12" s="572">
        <f>+E11+C12-D12</f>
        <v/>
      </c>
      <c r="J12" s="565" t="inlineStr">
        <is>
          <t>熹焱07A3</t>
        </is>
      </c>
      <c r="K12" s="565" t="inlineStr">
        <is>
          <t>144671.SZ</t>
        </is>
      </c>
      <c r="L12" s="575" t="n">
        <v>0.043</v>
      </c>
      <c r="M12" s="564" t="n">
        <v>2310</v>
      </c>
      <c r="N12" s="0" t="n">
        <v>80.65000000000001</v>
      </c>
      <c r="O12" s="0">
        <f>N12+U12+AA12</f>
        <v/>
      </c>
      <c r="P12" s="573">
        <f>O12*M12/100</f>
        <v/>
      </c>
      <c r="Q12" s="117" t="n">
        <v>46041</v>
      </c>
      <c r="R12" s="464" t="n">
        <v>0.041</v>
      </c>
      <c r="S12" s="0" t="inlineStr">
        <is>
          <t>28号</t>
        </is>
      </c>
      <c r="T12" s="0" t="inlineStr">
        <is>
          <t>扬讯</t>
        </is>
      </c>
      <c r="U12" s="0" t="n">
        <v>0.01</v>
      </c>
      <c r="V12" s="0" t="n">
        <v>80.7103</v>
      </c>
      <c r="W12" s="117" t="n">
        <v>46037</v>
      </c>
      <c r="X12" s="150" t="n">
        <v>0.0395</v>
      </c>
      <c r="Y12" s="0" t="inlineStr">
        <is>
          <t>AAA</t>
        </is>
      </c>
      <c r="Z12" s="117" t="n">
        <v>46037</v>
      </c>
      <c r="AA12" s="586">
        <f>AE12*L12/365*(Q12-Z12+1)</f>
        <v/>
      </c>
      <c r="AB12" s="1" t="n">
        <v>45562</v>
      </c>
      <c r="AC12" s="1" t="n">
        <v>45976</v>
      </c>
      <c r="AD12" s="1" t="n">
        <v>46492</v>
      </c>
      <c r="AE12" s="0" t="n">
        <v>80.55</v>
      </c>
      <c r="AF12" s="0" t="inlineStr">
        <is>
          <t>根据估值出</t>
        </is>
      </c>
      <c r="AG12" s="573">
        <f>(V12-N12)*M12*100</f>
        <v/>
      </c>
    </row>
    <row r="13">
      <c r="A13" s="156" t="n">
        <v>46037</v>
      </c>
      <c r="B13" s="112" t="inlineStr">
        <is>
          <t>兑付</t>
        </is>
      </c>
      <c r="C13" s="112" t="n">
        <v>251</v>
      </c>
      <c r="D13" s="112" t="n"/>
      <c r="E13" s="572">
        <f>+E12+C13-D13</f>
        <v/>
      </c>
      <c r="J13" s="565" t="inlineStr">
        <is>
          <t>工鑫39次</t>
        </is>
      </c>
      <c r="K13" s="565" t="inlineStr">
        <is>
          <t>265852.SH</t>
        </is>
      </c>
      <c r="L13" s="575" t="n">
        <v>0.065</v>
      </c>
      <c r="M13" s="564" t="n">
        <v>1100</v>
      </c>
      <c r="O13" s="0" t="n">
        <v>103.418</v>
      </c>
      <c r="P13" s="573">
        <f>O13*M13/100</f>
        <v/>
      </c>
      <c r="Q13" s="117" t="n">
        <v>46045</v>
      </c>
      <c r="R13" s="464" t="n">
        <v>0.06</v>
      </c>
      <c r="S13" s="0" t="inlineStr">
        <is>
          <t>中金</t>
        </is>
      </c>
      <c r="Z13" s="0" t="inlineStr">
        <is>
          <t>na</t>
        </is>
      </c>
      <c r="AB13" s="1" t="n">
        <v>45882</v>
      </c>
      <c r="AC13" s="1" t="n">
        <v>46976</v>
      </c>
      <c r="AD13" s="1" t="n">
        <v>46976</v>
      </c>
      <c r="AF13" s="0" t="inlineStr">
        <is>
          <t>中金代持期间5.5%</t>
        </is>
      </c>
      <c r="AG13" s="573" t="n"/>
    </row>
    <row r="14">
      <c r="A14" s="156" t="n">
        <v>46038</v>
      </c>
      <c r="B14" s="112" t="inlineStr">
        <is>
          <t>申购</t>
        </is>
      </c>
      <c r="C14" s="112" t="n">
        <v>9089</v>
      </c>
      <c r="D14" s="112" t="n"/>
      <c r="E14" s="572">
        <f>+E13+C14-D14</f>
        <v/>
      </c>
      <c r="J14" s="565" t="inlineStr">
        <is>
          <t>工鑫41次</t>
        </is>
      </c>
      <c r="K14" s="565" t="inlineStr">
        <is>
          <t>266482.SH</t>
        </is>
      </c>
      <c r="L14" s="575" t="n">
        <v>0.065</v>
      </c>
      <c r="M14" s="564" t="n">
        <v>1260</v>
      </c>
      <c r="O14" s="0" t="n">
        <v>102.825</v>
      </c>
      <c r="P14" s="573">
        <f>O14*M14/100</f>
        <v/>
      </c>
      <c r="Q14" s="117" t="n">
        <v>46045</v>
      </c>
      <c r="R14" s="464" t="n">
        <v>0.06</v>
      </c>
      <c r="S14" s="0" t="inlineStr">
        <is>
          <t>中金</t>
        </is>
      </c>
      <c r="Z14" s="117" t="inlineStr">
        <is>
          <t>na</t>
        </is>
      </c>
      <c r="AB14" s="1" t="n">
        <v>45918</v>
      </c>
      <c r="AC14" s="1" t="n">
        <v>47014</v>
      </c>
      <c r="AD14" s="1" t="n">
        <v>47014</v>
      </c>
      <c r="AF14" s="0" t="inlineStr">
        <is>
          <t>中金代持期间5.5%</t>
        </is>
      </c>
      <c r="AG14" s="573" t="n"/>
    </row>
    <row r="15">
      <c r="A15" s="156" t="n">
        <v>46041</v>
      </c>
      <c r="B15" s="212" t="inlineStr">
        <is>
          <t>启悦15次</t>
        </is>
      </c>
      <c r="C15" s="112" t="n"/>
      <c r="D15" s="576">
        <f>P9</f>
        <v/>
      </c>
      <c r="E15" s="572">
        <f>+E14+C15-D15</f>
        <v/>
      </c>
      <c r="F15" s="570" t="inlineStr">
        <is>
          <t>启悦15次，146285.SZ,500w，全价103.616,1月19日，芜湖扬讯 to 苏信Z2502</t>
        </is>
      </c>
      <c r="H15" s="570" t="inlineStr">
        <is>
          <t>启悦15次，146285.SZ,500w，全价103.606,1月19日，元康28号to 扬讯</t>
        </is>
      </c>
      <c r="I15" s="564" t="inlineStr">
        <is>
          <t>待上市</t>
        </is>
      </c>
      <c r="J15" s="565" t="inlineStr">
        <is>
          <t>铁建Y28C</t>
        </is>
      </c>
      <c r="K15" s="565" t="inlineStr">
        <is>
          <t>267372.SH</t>
        </is>
      </c>
      <c r="L15" s="575" t="n">
        <v>0.055</v>
      </c>
      <c r="M15" s="564" t="n">
        <v>2860</v>
      </c>
      <c r="O15" s="0" t="n">
        <v>100.481</v>
      </c>
      <c r="P15" s="573">
        <f>O15*M15/100</f>
        <v/>
      </c>
      <c r="Q15" s="117" t="n">
        <v>46045</v>
      </c>
      <c r="R15" s="464" t="n">
        <v>0.055</v>
      </c>
      <c r="S15" s="0" t="inlineStr">
        <is>
          <t>国泰海通</t>
        </is>
      </c>
      <c r="Z15" s="117" t="inlineStr">
        <is>
          <t>na</t>
        </is>
      </c>
      <c r="AB15" s="1" t="n">
        <v>46006</v>
      </c>
      <c r="AC15" s="1" t="n">
        <v>46188</v>
      </c>
      <c r="AD15" s="1" t="n">
        <v>46188</v>
      </c>
      <c r="AF15" s="0" t="inlineStr">
        <is>
          <t>国泰代持期间4.5%</t>
        </is>
      </c>
      <c r="AG15" s="573" t="n"/>
    </row>
    <row r="16">
      <c r="A16" s="156" t="n">
        <v>46041</v>
      </c>
      <c r="B16" s="618" t="inlineStr">
        <is>
          <t>启悦16次</t>
        </is>
      </c>
      <c r="C16" s="112" t="n"/>
      <c r="D16" s="576">
        <f>P10</f>
        <v/>
      </c>
      <c r="E16" s="572">
        <f>+E15+C16-D16</f>
        <v/>
      </c>
      <c r="F16" s="570" t="inlineStr">
        <is>
          <t>启悦16次,146761.SZ,300w,全价102.689，1月19日，芜湖扬讯 to 苏信Z2502</t>
        </is>
      </c>
      <c r="H16" s="570" t="inlineStr">
        <is>
          <t>启悦16次,146761.SZ,300w,全价102.679，1月19日，元康28号 to 扬讯</t>
        </is>
      </c>
      <c r="J16" s="565" t="inlineStr">
        <is>
          <t>熠安02A3</t>
        </is>
      </c>
      <c r="K16" s="565" t="inlineStr">
        <is>
          <t>144651.SZ</t>
        </is>
      </c>
      <c r="L16" s="575" t="n">
        <v>0.043</v>
      </c>
      <c r="M16" s="564" t="n">
        <v>1172</v>
      </c>
      <c r="N16" s="0" t="n">
        <v>94.90000000000001</v>
      </c>
      <c r="O16" s="619">
        <f>N16+U16+AA16</f>
        <v/>
      </c>
      <c r="P16" s="573">
        <f>O16*M16/100</f>
        <v/>
      </c>
      <c r="Q16" s="117" t="n">
        <v>46041</v>
      </c>
      <c r="R16" s="464" t="n">
        <v>0.04</v>
      </c>
      <c r="S16" s="0" t="inlineStr">
        <is>
          <t>20号</t>
        </is>
      </c>
      <c r="T16" s="0" t="inlineStr">
        <is>
          <t>扬讯</t>
        </is>
      </c>
      <c r="U16" s="0" t="n">
        <v>0</v>
      </c>
      <c r="V16" s="0" t="n">
        <v>94.9534</v>
      </c>
      <c r="W16" s="117" t="n">
        <v>46037</v>
      </c>
      <c r="X16" s="150" t="n">
        <v>0.039312</v>
      </c>
      <c r="Y16" s="0" t="inlineStr">
        <is>
          <t>AAA</t>
        </is>
      </c>
      <c r="Z16" s="117" t="n">
        <v>46037</v>
      </c>
      <c r="AA16" s="586">
        <f>AE16*L16/365*(Q16-Z16+1)</f>
        <v/>
      </c>
      <c r="AB16" s="1" t="n">
        <v>45559</v>
      </c>
      <c r="AC16" s="153" t="n">
        <v>46037</v>
      </c>
      <c r="AD16" s="154" t="n">
        <v>46492</v>
      </c>
      <c r="AE16" s="0" t="n">
        <v>94.79000000000001</v>
      </c>
      <c r="AF16" s="0" t="inlineStr">
        <is>
          <t>根据估值出</t>
        </is>
      </c>
      <c r="AG16" s="573">
        <f>(V16-N16)*M16*100</f>
        <v/>
      </c>
    </row>
    <row r="17">
      <c r="A17" s="156" t="n">
        <v>46041</v>
      </c>
      <c r="B17" s="618" t="inlineStr">
        <is>
          <t>熹焱03A3</t>
        </is>
      </c>
      <c r="C17" s="112" t="n"/>
      <c r="D17" s="576">
        <f>P11</f>
        <v/>
      </c>
      <c r="E17" s="572">
        <f>+E16+C17-D17</f>
        <v/>
      </c>
      <c r="F17" s="570" t="inlineStr">
        <is>
          <t>熹焱03A3,144237.SZ,1000w,净价38.56，1月19日，芜湖扬讯 to 苏信Z2502</t>
        </is>
      </c>
      <c r="H17" s="570" t="inlineStr">
        <is>
          <t>熹焱03A3,144237.SZ,1000w,净价38.55，1月19日，元康28号 to 扬讯</t>
        </is>
      </c>
      <c r="O17" s="0" t="inlineStr">
        <is>
          <t>总规模</t>
        </is>
      </c>
      <c r="P17" s="573">
        <f>SUM(P9:P16)</f>
        <v/>
      </c>
      <c r="Q17" s="0" t="inlineStr">
        <is>
          <t>加权收益</t>
        </is>
      </c>
      <c r="R17" s="464">
        <f>SUMPRODUCT(R9:R16,P9:P16)/P17</f>
        <v/>
      </c>
    </row>
    <row r="18">
      <c r="A18" s="156" t="n">
        <v>46041</v>
      </c>
      <c r="B18" s="618" t="inlineStr">
        <is>
          <t>熹焱07A3</t>
        </is>
      </c>
      <c r="C18" s="112" t="n"/>
      <c r="D18" s="576">
        <f>P12</f>
        <v/>
      </c>
      <c r="E18" s="572">
        <f>+E17+C18-D18</f>
        <v/>
      </c>
      <c r="F18" s="570" t="inlineStr">
        <is>
          <t>熹焱07A3,144671.SZ,2310w,净价80.65，1月19日，芜湖扬讯 to 苏信Z2502</t>
        </is>
      </c>
      <c r="H18" s="570" t="inlineStr">
        <is>
          <t>熹焱07A3,144671.SZ,2310w,净价80.65，1月19日，元康28号 to 扬讯</t>
        </is>
      </c>
    </row>
    <row r="19">
      <c r="A19" s="156" t="n"/>
      <c r="B19" s="618" t="inlineStr">
        <is>
          <t>熠安02A3</t>
        </is>
      </c>
      <c r="C19" s="112" t="n"/>
      <c r="D19" s="576">
        <f>P16</f>
        <v/>
      </c>
      <c r="E19" s="572">
        <f>+E18+C19-D19</f>
        <v/>
      </c>
      <c r="F19" s="570" t="inlineStr">
        <is>
          <t>熠安02A3,144651.SZ,1172w,净价94.9，1月19日，芜湖扬讯 to 苏信Z2502</t>
        </is>
      </c>
      <c r="H19" s="570" t="inlineStr">
        <is>
          <t>熠安02A3,144651.SZ,1172w,净价94.89, 1月19日，元康20号 to 扬讯</t>
        </is>
      </c>
    </row>
    <row r="20">
      <c r="A20" s="156" t="n">
        <v>46042</v>
      </c>
      <c r="B20" s="126" t="inlineStr">
        <is>
          <t>荟享244C</t>
        </is>
      </c>
      <c r="C20" s="112" t="n">
        <v>982</v>
      </c>
      <c r="D20" s="112" t="n"/>
      <c r="E20" s="572">
        <f>+E19+C20-D20</f>
        <v/>
      </c>
      <c r="F20" s="207" t="inlineStr">
        <is>
          <t>1/20+0，荟享244C，146608.SZ，966w，净价100.209元， 苏信财富组合添利Z2502集合资金信托计划 徐健qq455768073 to 粤开证券（许逸潇）</t>
        </is>
      </c>
    </row>
    <row r="21">
      <c r="A21" s="156" t="n"/>
      <c r="B21" s="112" t="n"/>
      <c r="C21" s="112" t="n"/>
      <c r="D21" s="112" t="n"/>
      <c r="E21" s="572">
        <f>+E20+C21-D21</f>
        <v/>
      </c>
    </row>
    <row r="22">
      <c r="A22" s="156" t="n">
        <v>46045</v>
      </c>
      <c r="B22" s="618" t="inlineStr">
        <is>
          <t>工鑫39次</t>
        </is>
      </c>
      <c r="C22" s="112" t="n"/>
      <c r="D22" s="576">
        <f>P13</f>
        <v/>
      </c>
      <c r="E22" s="572">
        <f>+E21+C22-D22</f>
        <v/>
      </c>
      <c r="F22" s="565" t="inlineStr">
        <is>
          <t>工鑫39次,265852.SH,1100w,全价103.418，1月23日，厦门信托鑫鹭1号李丹萍3003775644 to 苏信财富组合添利Z2502，徐健qq455768073</t>
        </is>
      </c>
    </row>
    <row r="23">
      <c r="A23" s="156" t="n">
        <v>46045</v>
      </c>
      <c r="B23" s="618" t="inlineStr">
        <is>
          <t>工鑫41次</t>
        </is>
      </c>
      <c r="C23" s="112" t="n"/>
      <c r="D23" s="576">
        <f>P14</f>
        <v/>
      </c>
      <c r="E23" s="572">
        <f>+E22+C23-D23</f>
        <v/>
      </c>
      <c r="F23" s="565" t="inlineStr">
        <is>
          <t>工鑫41次,266482.SH,1260w,全价102.825，1月23日，厦门信托鑫鹭1号李丹萍3003775644 to 苏信财富组合添利Z2502，徐健qq455768073</t>
        </is>
      </c>
    </row>
    <row r="24">
      <c r="A24" s="156" t="n"/>
      <c r="B24" s="620" t="n"/>
      <c r="C24" s="112" t="n"/>
      <c r="D24" s="576" t="n"/>
      <c r="E24" s="572">
        <f>+E23+C24-D24</f>
        <v/>
      </c>
      <c r="F24" s="565" t="inlineStr">
        <is>
          <t>铁建Y28C,267372.SH,2860w,全价100.481</t>
        </is>
      </c>
    </row>
    <row r="25">
      <c r="A25" s="156" t="n"/>
      <c r="B25" s="112" t="n"/>
      <c r="C25" s="112" t="n"/>
      <c r="D25" s="112" t="n"/>
      <c r="E25" s="572" t="n">
        <v>3830</v>
      </c>
    </row>
    <row r="26">
      <c r="A26" s="156" t="n">
        <v>46055</v>
      </c>
      <c r="B26" s="112" t="inlineStr">
        <is>
          <t>一冶</t>
        </is>
      </c>
      <c r="C26" s="112" t="n"/>
      <c r="D26" s="112" t="n">
        <v>900</v>
      </c>
      <c r="E26" s="572">
        <f>+E25+C26-D26</f>
        <v/>
      </c>
    </row>
    <row r="27">
      <c r="A27" s="156" t="n">
        <v>46077</v>
      </c>
      <c r="B27" s="112" t="inlineStr">
        <is>
          <t>回款</t>
        </is>
      </c>
      <c r="C27" s="112" t="n">
        <v>885</v>
      </c>
      <c r="D27" s="112" t="n"/>
      <c r="E27" s="572">
        <f>+E26+C27-D27</f>
        <v/>
      </c>
      <c r="J27" s="0" t="inlineStr">
        <is>
          <t>证券名称</t>
        </is>
      </c>
      <c r="K27" s="565" t="inlineStr">
        <is>
          <t>代码</t>
        </is>
      </c>
      <c r="L27" s="565" t="inlineStr">
        <is>
          <t>票息（预期）</t>
        </is>
      </c>
      <c r="M27" s="564" t="inlineStr">
        <is>
          <t>数量</t>
        </is>
      </c>
      <c r="N27" s="0" t="inlineStr">
        <is>
          <t>净价</t>
        </is>
      </c>
      <c r="O27" s="0" t="inlineStr">
        <is>
          <t>全价</t>
        </is>
      </c>
      <c r="P27" s="0" t="inlineStr">
        <is>
          <t>规模</t>
        </is>
      </c>
      <c r="Q27" s="0" t="inlineStr">
        <is>
          <t>交易日期</t>
        </is>
      </c>
      <c r="R27" s="0" t="inlineStr">
        <is>
          <t>后手收益率</t>
        </is>
      </c>
      <c r="T27" s="0" t="inlineStr">
        <is>
          <t>过桥</t>
        </is>
      </c>
      <c r="U27" s="0" t="inlineStr">
        <is>
          <t>过桥费</t>
        </is>
      </c>
      <c r="V27" s="0" t="inlineStr">
        <is>
          <t>最新估值</t>
        </is>
      </c>
      <c r="W27" s="0" t="inlineStr">
        <is>
          <t>估值日期</t>
        </is>
      </c>
      <c r="X27" s="0" t="inlineStr">
        <is>
          <t>估值后手收益率</t>
        </is>
      </c>
      <c r="Y27" s="0" t="inlineStr">
        <is>
          <t>最新评级</t>
        </is>
      </c>
      <c r="Z27" s="0" t="inlineStr">
        <is>
          <t>上个付息日</t>
        </is>
      </c>
      <c r="AA27" s="0" t="inlineStr">
        <is>
          <t>应计利息</t>
        </is>
      </c>
      <c r="AB27" s="0" t="inlineStr">
        <is>
          <t>起息日</t>
        </is>
      </c>
      <c r="AC27" s="0" t="inlineStr">
        <is>
          <t>本金开始摊还日</t>
        </is>
      </c>
      <c r="AD27" s="0" t="inlineStr">
        <is>
          <t>预计到期日</t>
        </is>
      </c>
      <c r="AE27" s="0" t="inlineStr">
        <is>
          <t>剩余面值</t>
        </is>
      </c>
    </row>
    <row r="28">
      <c r="A28" s="156" t="n"/>
      <c r="B28" s="620" t="n"/>
      <c r="C28" s="112" t="n"/>
      <c r="D28" s="576" t="n"/>
      <c r="E28" s="572">
        <f>+E27+C28-D28</f>
        <v/>
      </c>
      <c r="H28" s="0" t="inlineStr">
        <is>
          <t> </t>
        </is>
      </c>
      <c r="J28" s="0" t="inlineStr">
        <is>
          <t>熠安02A3</t>
        </is>
      </c>
      <c r="K28" s="565" t="inlineStr">
        <is>
          <t>144651.SZ</t>
        </is>
      </c>
      <c r="L28" s="575" t="n">
        <v>0.043</v>
      </c>
      <c r="M28" s="0" t="n">
        <v>1100</v>
      </c>
      <c r="N28" s="0" t="n">
        <v>69.39</v>
      </c>
      <c r="O28" s="573">
        <f>N28+U28+AA28</f>
        <v/>
      </c>
      <c r="P28" s="564">
        <f>M28*O28/100</f>
        <v/>
      </c>
      <c r="Q28" s="117" t="n">
        <v>46083</v>
      </c>
      <c r="R28" s="150" t="n">
        <v>0.03885</v>
      </c>
      <c r="T28" s="0" t="inlineStr">
        <is>
          <t>扬讯</t>
        </is>
      </c>
      <c r="U28" s="0" t="n">
        <v>0.01</v>
      </c>
      <c r="V28" s="0" t="n">
        <v>69.3978</v>
      </c>
      <c r="W28" s="117" t="n">
        <v>46080</v>
      </c>
      <c r="X28" s="150" t="n">
        <v>0.0388</v>
      </c>
      <c r="Y28" s="0" t="inlineStr">
        <is>
          <t>AAA</t>
        </is>
      </c>
      <c r="Z28" s="1" t="n">
        <v>46077</v>
      </c>
      <c r="AA28" s="586">
        <f>AE28*L28/365*(Q28-Z28+1)</f>
        <v/>
      </c>
      <c r="AB28" s="1" t="n">
        <v>45559</v>
      </c>
      <c r="AC28" s="283" t="n">
        <v>46037</v>
      </c>
      <c r="AD28" s="283" t="n">
        <v>46492</v>
      </c>
      <c r="AE28" s="0" t="n">
        <v>69.31</v>
      </c>
      <c r="AF28" s="0" t="inlineStr">
        <is>
          <t>20号</t>
        </is>
      </c>
    </row>
    <row r="29">
      <c r="A29" s="156" t="n"/>
      <c r="B29" s="112" t="n"/>
      <c r="C29" s="112" t="n"/>
      <c r="D29" s="112" t="n"/>
      <c r="E29" s="572">
        <f>+E28+C29-D29</f>
        <v/>
      </c>
      <c r="J29" s="0" t="inlineStr">
        <is>
          <t>铁建051C</t>
        </is>
      </c>
      <c r="K29" s="565" t="inlineStr">
        <is>
          <t>199768.SH</t>
        </is>
      </c>
      <c r="L29" s="575" t="n">
        <v>0.08500000000000001</v>
      </c>
      <c r="M29" s="0" t="n">
        <v>665</v>
      </c>
      <c r="N29" s="0" t="n">
        <v>111.89</v>
      </c>
      <c r="O29" s="579">
        <f>N29+U29</f>
        <v/>
      </c>
      <c r="P29" s="564">
        <f>M29*O29/100</f>
        <v/>
      </c>
      <c r="Q29" s="117" t="n">
        <v>46083</v>
      </c>
      <c r="R29" s="150" t="n">
        <v>0.059</v>
      </c>
      <c r="T29" s="0" t="inlineStr">
        <is>
          <t>扬讯</t>
        </is>
      </c>
      <c r="U29" s="0" t="n">
        <v>0.01</v>
      </c>
      <c r="V29" s="276" t="n">
        <v>111.2463</v>
      </c>
      <c r="W29" s="117" t="n">
        <v>46079</v>
      </c>
      <c r="X29" s="575" t="n">
        <v>0.08500000000000001</v>
      </c>
      <c r="Y29" s="0" t="inlineStr">
        <is>
          <t>NA</t>
        </is>
      </c>
      <c r="Z29" s="1" t="n">
        <v>45959</v>
      </c>
      <c r="AA29" s="0" t="n">
        <v>0</v>
      </c>
      <c r="AB29" s="1" t="n">
        <v>45068</v>
      </c>
      <c r="AC29" s="283" t="n">
        <v>46164</v>
      </c>
      <c r="AD29" s="283" t="n">
        <v>46164</v>
      </c>
      <c r="AE29" s="0" t="n">
        <v>100</v>
      </c>
      <c r="AF29" s="0" t="inlineStr">
        <is>
          <t>20号</t>
        </is>
      </c>
    </row>
    <row r="30">
      <c r="A30" s="156" t="n">
        <v>46080</v>
      </c>
      <c r="B30" s="112" t="inlineStr">
        <is>
          <t>回款</t>
        </is>
      </c>
      <c r="C30" s="112" t="n">
        <v>338</v>
      </c>
      <c r="D30" s="112" t="n"/>
      <c r="E30" s="572">
        <f>+E29+C30-D30</f>
        <v/>
      </c>
      <c r="J30" s="0" t="inlineStr">
        <is>
          <t>5美意1次</t>
        </is>
      </c>
      <c r="K30" s="565" t="inlineStr">
        <is>
          <t>263091.SH</t>
        </is>
      </c>
      <c r="L30" s="575" t="n">
        <v>0.059</v>
      </c>
      <c r="M30" s="0" t="n">
        <v>2000</v>
      </c>
      <c r="N30" s="0" t="n">
        <v>108.814</v>
      </c>
      <c r="O30" s="579">
        <f>N30+U30</f>
        <v/>
      </c>
      <c r="P30" s="564">
        <f>M30*O30/100</f>
        <v/>
      </c>
      <c r="Q30" s="117" t="n">
        <v>46083</v>
      </c>
      <c r="R30" s="575" t="n">
        <v>0.059</v>
      </c>
      <c r="T30" s="0" t="inlineStr">
        <is>
          <t>扬讯</t>
        </is>
      </c>
      <c r="U30" s="0" t="n">
        <v>0.01</v>
      </c>
      <c r="V30" s="276" t="n">
        <v>108.7534</v>
      </c>
      <c r="W30" s="117" t="n">
        <v>46079</v>
      </c>
      <c r="X30" s="575" t="n">
        <v>0.059</v>
      </c>
      <c r="Y30" s="0" t="inlineStr">
        <is>
          <t>NA</t>
        </is>
      </c>
      <c r="Z30" s="0" t="inlineStr">
        <is>
          <t>-</t>
        </is>
      </c>
      <c r="AA30" s="0" t="n">
        <v>0</v>
      </c>
      <c r="AB30" s="1" t="n">
        <v>45532</v>
      </c>
      <c r="AC30" s="283" t="n">
        <v>46138</v>
      </c>
      <c r="AD30" s="283" t="n">
        <v>46138</v>
      </c>
      <c r="AE30" s="0" t="n">
        <v>100</v>
      </c>
      <c r="AF30" s="0" t="inlineStr">
        <is>
          <t>20号</t>
        </is>
      </c>
    </row>
    <row r="31">
      <c r="A31" s="156" t="n">
        <v>46080</v>
      </c>
      <c r="B31" s="112" t="inlineStr">
        <is>
          <t>春节后申购</t>
        </is>
      </c>
      <c r="C31" s="112" t="n">
        <v>6197</v>
      </c>
      <c r="D31" s="112" t="n"/>
      <c r="E31" s="572">
        <f>+E30+C31-D31</f>
        <v/>
      </c>
      <c r="J31" s="0" t="inlineStr">
        <is>
          <t>5美意3次</t>
        </is>
      </c>
      <c r="K31" s="565" t="inlineStr">
        <is>
          <t>263710.SH</t>
        </is>
      </c>
      <c r="L31" s="575" t="n">
        <v>0.059</v>
      </c>
      <c r="M31" s="564" t="n">
        <v>2100</v>
      </c>
      <c r="N31" s="0" t="n">
        <v>107.565</v>
      </c>
      <c r="O31" s="579">
        <f>N31+U31</f>
        <v/>
      </c>
      <c r="P31" s="564">
        <f>M31*O31/100</f>
        <v/>
      </c>
      <c r="Q31" s="117" t="n">
        <v>46083</v>
      </c>
      <c r="R31" s="575" t="n">
        <v>0.059</v>
      </c>
      <c r="V31" s="276" t="n">
        <v>107.6081</v>
      </c>
      <c r="W31" s="117" t="n">
        <v>46079</v>
      </c>
      <c r="X31" s="575" t="n">
        <v>0.059</v>
      </c>
      <c r="Y31" s="0" t="inlineStr">
        <is>
          <t>NA</t>
        </is>
      </c>
      <c r="Z31" s="0" t="inlineStr">
        <is>
          <t>-</t>
        </is>
      </c>
      <c r="AA31" s="0" t="n">
        <v>0</v>
      </c>
      <c r="AB31" s="1" t="n">
        <v>45615</v>
      </c>
      <c r="AC31" s="283" t="n">
        <v>46168</v>
      </c>
      <c r="AD31" s="283" t="n">
        <v>46168</v>
      </c>
      <c r="AE31" s="0" t="n">
        <v>100</v>
      </c>
      <c r="AF31" s="0" t="inlineStr">
        <is>
          <t>西藏信托</t>
        </is>
      </c>
    </row>
    <row r="32">
      <c r="A32" s="156" t="n">
        <v>46083</v>
      </c>
      <c r="B32" s="112" t="inlineStr">
        <is>
          <t>熠安02A3</t>
        </is>
      </c>
      <c r="C32" s="112" t="n"/>
      <c r="D32" s="576">
        <f>P28</f>
        <v/>
      </c>
      <c r="E32" s="572">
        <f>+E31+C32-D32</f>
        <v/>
      </c>
      <c r="F32" s="0" t="inlineStr">
        <is>
          <t>熠安02A3[144651.SZ]，1100w，净价69.39, 3/2，元康盛景20号 to 扬讯；熠安02A3[144651.SZ]，1100w，净价69.4, 3/2，扬讯 to 苏信财富Z2502；</t>
        </is>
      </c>
      <c r="G32" s="0" t="inlineStr">
        <is>
          <t> </t>
        </is>
      </c>
      <c r="J32" s="621" t="inlineStr">
        <is>
          <t>铁建Y28C</t>
        </is>
      </c>
      <c r="K32" s="565" t="inlineStr">
        <is>
          <t>267372.SH</t>
        </is>
      </c>
      <c r="L32" s="575" t="n">
        <v>0.055</v>
      </c>
      <c r="M32" s="564" t="n">
        <v>2860</v>
      </c>
      <c r="N32" s="0" t="n">
        <v>100.962</v>
      </c>
      <c r="O32" s="579">
        <f>N32</f>
        <v/>
      </c>
      <c r="P32" s="564">
        <f>M32*O32/100</f>
        <v/>
      </c>
      <c r="Q32" s="117" t="n">
        <v>46084</v>
      </c>
      <c r="R32" s="575" t="n">
        <v>0.06327386200428008</v>
      </c>
      <c r="V32" s="276" t="inlineStr">
        <is>
          <t>无</t>
        </is>
      </c>
      <c r="W32" s="117" t="n"/>
      <c r="X32" s="575" t="n"/>
      <c r="Y32" s="0" t="inlineStr">
        <is>
          <t>NA</t>
        </is>
      </c>
      <c r="Z32" s="0" t="inlineStr">
        <is>
          <t>-</t>
        </is>
      </c>
      <c r="AA32" s="0" t="n">
        <v>0</v>
      </c>
      <c r="AB32" s="1" t="n">
        <v>46006</v>
      </c>
      <c r="AC32" s="283" t="n">
        <v>46188</v>
      </c>
      <c r="AD32" s="283" t="n">
        <v>46188</v>
      </c>
      <c r="AE32" s="0" t="n">
        <v>100</v>
      </c>
      <c r="AF32" s="0" t="inlineStr">
        <is>
          <t>国泰海通</t>
        </is>
      </c>
    </row>
    <row r="33">
      <c r="A33" s="156" t="n">
        <v>46083</v>
      </c>
      <c r="B33" s="112" t="inlineStr">
        <is>
          <t>铁建051C</t>
        </is>
      </c>
      <c r="C33" s="112" t="n"/>
      <c r="D33" s="576">
        <f>P29</f>
        <v/>
      </c>
      <c r="E33" s="572">
        <f>+E32+C33-D33</f>
        <v/>
      </c>
      <c r="F33" s="0" t="inlineStr">
        <is>
          <t>铁建051C（199768.SH），665w，111.89，3/2，元康盛景20号  to 扬讯；铁建051C（199768.SH），665w，111.90，3/2，扬讯 to 苏信财富Z2502；</t>
        </is>
      </c>
      <c r="G33" s="0" t="inlineStr">
        <is>
          <t> </t>
        </is>
      </c>
      <c r="J33" s="622" t="inlineStr">
        <is>
          <t>4美意6次</t>
        </is>
      </c>
      <c r="K33" s="565" t="inlineStr">
        <is>
          <t>262764.SH</t>
        </is>
      </c>
      <c r="L33" s="575" t="n">
        <v>0.059</v>
      </c>
      <c r="M33" s="564" t="n">
        <v>300</v>
      </c>
      <c r="N33" s="119" t="n">
        <v>109.42</v>
      </c>
      <c r="O33" s="579">
        <f>N33+U33</f>
        <v/>
      </c>
      <c r="P33" s="564">
        <f>M33*O33/100</f>
        <v/>
      </c>
      <c r="Q33" s="117" t="n">
        <v>46083</v>
      </c>
      <c r="R33" s="575" t="n">
        <v>0.059</v>
      </c>
      <c r="T33" s="0" t="inlineStr">
        <is>
          <t>扬讯</t>
        </is>
      </c>
      <c r="U33" s="0" t="n">
        <v>0.01</v>
      </c>
      <c r="V33" s="276" t="n">
        <v>109.359</v>
      </c>
      <c r="W33" s="117" t="n">
        <v>46079</v>
      </c>
      <c r="X33" s="575" t="n">
        <v>0.059</v>
      </c>
      <c r="Y33" s="0" t="inlineStr">
        <is>
          <t>NA</t>
        </is>
      </c>
      <c r="Z33" s="0" t="inlineStr">
        <is>
          <t>-</t>
        </is>
      </c>
      <c r="AA33" s="0" t="n">
        <v>0</v>
      </c>
      <c r="AB33" s="1" t="n">
        <v>45496</v>
      </c>
      <c r="AC33" s="283" t="n">
        <v>46092</v>
      </c>
      <c r="AD33" s="283" t="n">
        <v>46092</v>
      </c>
      <c r="AE33" s="0" t="n">
        <v>100</v>
      </c>
      <c r="AF33" s="0" t="inlineStr">
        <is>
          <t>20号</t>
        </is>
      </c>
    </row>
    <row r="34">
      <c r="A34" s="156" t="n">
        <v>46083</v>
      </c>
      <c r="B34" s="112" t="inlineStr">
        <is>
          <t>5美意1次</t>
        </is>
      </c>
      <c r="C34" s="112" t="n"/>
      <c r="D34" s="576">
        <f>P30</f>
        <v/>
      </c>
      <c r="E34" s="572">
        <f>+E33+C34-D34</f>
        <v/>
      </c>
      <c r="F34" s="0" t="inlineStr">
        <is>
          <t>5美意1次[263091.SH] ，2000w，108.814,3/2，元康盛景20号 to 扬讯；5美意1次[263091.SH] ，2000w，108.824,3/2，扬讯to 苏信Z2502</t>
        </is>
      </c>
      <c r="G34" s="0" t="inlineStr">
        <is>
          <t> </t>
        </is>
      </c>
      <c r="J34" s="622" t="inlineStr">
        <is>
          <t>睿昕1次</t>
        </is>
      </c>
      <c r="K34" s="565" t="inlineStr">
        <is>
          <t>144259.SZ</t>
        </is>
      </c>
      <c r="L34" s="575" t="n">
        <v>0.08</v>
      </c>
      <c r="M34" s="564" t="n">
        <v>400</v>
      </c>
      <c r="N34" s="579" t="n">
        <v>63.993</v>
      </c>
      <c r="O34" s="579">
        <f>N34+U34</f>
        <v/>
      </c>
      <c r="P34" s="564">
        <f>M34*O34/100</f>
        <v/>
      </c>
      <c r="Q34" s="117" t="n">
        <v>46083</v>
      </c>
      <c r="R34" s="575" t="n">
        <v>0.08</v>
      </c>
      <c r="T34" s="0" t="inlineStr">
        <is>
          <t>扬讯</t>
        </is>
      </c>
      <c r="U34" s="0" t="n">
        <v>0.01</v>
      </c>
      <c r="V34" s="276" t="n">
        <v>63.993</v>
      </c>
      <c r="W34" s="117" t="n">
        <v>46077</v>
      </c>
      <c r="X34" s="575" t="n">
        <v>0.08</v>
      </c>
      <c r="Y34" s="0" t="inlineStr">
        <is>
          <t>NA</t>
        </is>
      </c>
      <c r="Z34" s="0" t="inlineStr">
        <is>
          <t>-</t>
        </is>
      </c>
      <c r="AA34" s="0" t="n">
        <v>0</v>
      </c>
      <c r="AB34" s="1" t="n">
        <v>45443</v>
      </c>
      <c r="AC34" s="283" t="n">
        <v>46013</v>
      </c>
      <c r="AD34" s="283" t="n">
        <v>46409</v>
      </c>
      <c r="AE34" s="0" t="n">
        <v>56.52</v>
      </c>
      <c r="AF34" s="0" t="inlineStr">
        <is>
          <t>23号</t>
        </is>
      </c>
    </row>
    <row r="35">
      <c r="A35" s="156" t="n">
        <v>46083</v>
      </c>
      <c r="B35" s="112" t="inlineStr">
        <is>
          <t>5美意3次</t>
        </is>
      </c>
      <c r="C35" s="112" t="n"/>
      <c r="D35" s="576">
        <f>P31</f>
        <v/>
      </c>
      <c r="E35" s="572">
        <f>+E34+C35-D35</f>
        <v/>
      </c>
      <c r="F35" s="0" t="inlineStr">
        <is>
          <t>5美意3次[263710.SH] ，2100w，107.565,3/2，西藏信托君集2号 2850981264钟振涛 to 苏信财富组合添利Z2502集合资金信托计划，徐健qq455768073</t>
        </is>
      </c>
      <c r="G35" s="0" t="inlineStr">
        <is>
          <t> </t>
        </is>
      </c>
      <c r="J35" s="297" t="inlineStr">
        <is>
          <t>熹焱07A3</t>
        </is>
      </c>
      <c r="K35" s="565" t="inlineStr">
        <is>
          <t>144671.SZ</t>
        </is>
      </c>
      <c r="L35" s="575" t="n">
        <v>0.043</v>
      </c>
      <c r="M35" s="564" t="n">
        <v>450</v>
      </c>
      <c r="N35" s="579" t="n">
        <v>72.8032</v>
      </c>
      <c r="O35" s="573">
        <f>N35+U35+AA35</f>
        <v/>
      </c>
      <c r="P35" s="564">
        <f>M35*O35/100</f>
        <v/>
      </c>
      <c r="Q35" s="117" t="n">
        <v>46083</v>
      </c>
      <c r="R35" s="575" t="n">
        <v>0.039</v>
      </c>
      <c r="T35" s="0" t="inlineStr">
        <is>
          <t>扬讯</t>
        </is>
      </c>
      <c r="U35" s="0" t="n">
        <v>0.01</v>
      </c>
      <c r="V35" s="276" t="n">
        <v>72.81270000000001</v>
      </c>
      <c r="W35" s="117" t="n">
        <v>46080</v>
      </c>
      <c r="X35" s="575" t="n">
        <v>0.039</v>
      </c>
      <c r="Y35" s="0" t="inlineStr">
        <is>
          <t>NA</t>
        </is>
      </c>
      <c r="Z35" s="1" t="n">
        <v>46077</v>
      </c>
      <c r="AA35" s="586">
        <f>AE35*L35/365*(Q35-Z35+1)</f>
        <v/>
      </c>
      <c r="AB35" s="1" t="n"/>
      <c r="AC35" s="283" t="n"/>
      <c r="AD35" s="283" t="n"/>
      <c r="AE35" s="0" t="n">
        <v>72.68000000000001</v>
      </c>
      <c r="AF35" s="0" t="inlineStr">
        <is>
          <t>26号</t>
        </is>
      </c>
    </row>
    <row r="36">
      <c r="A36" s="156" t="n">
        <v>46083</v>
      </c>
      <c r="B36" s="112" t="inlineStr">
        <is>
          <t>4美意6次</t>
        </is>
      </c>
      <c r="C36" s="112" t="n"/>
      <c r="D36" s="576">
        <f>P33</f>
        <v/>
      </c>
      <c r="E36" s="572">
        <f>+E35+C36-D36</f>
        <v/>
      </c>
      <c r="F36" s="0" t="inlineStr">
        <is>
          <t>4美意6次[262764.SH] ,300w,109.42全价，3月2日，元康盛景20号 to 扬讯；4美意6次[262764.SH] ,300w,109.43全价，3月2日，扬讯 to 苏信Z2502；</t>
        </is>
      </c>
      <c r="G36" s="0" t="inlineStr">
        <is>
          <t> </t>
        </is>
      </c>
      <c r="P36" s="573">
        <f>SUM(P28:P35)</f>
        <v/>
      </c>
      <c r="Q36" s="0" t="inlineStr">
        <is>
          <t>加权收益率</t>
        </is>
      </c>
      <c r="R36" s="464">
        <f>SUMPRODUCT(R28:R35,P28:P35)/SUM(P28:P35)</f>
        <v/>
      </c>
    </row>
    <row r="37">
      <c r="A37" s="156" t="n">
        <v>46083</v>
      </c>
      <c r="B37" s="620" t="inlineStr">
        <is>
          <t>睿昕1次</t>
        </is>
      </c>
      <c r="C37" s="112" t="n"/>
      <c r="D37" s="576">
        <f>P34</f>
        <v/>
      </c>
      <c r="E37" s="572">
        <f>+E36+C37-D37</f>
        <v/>
      </c>
      <c r="F37" s="0" t="inlineStr">
        <is>
          <t>睿昕1次 (144259.SZ)，400w，63.993全价，3/2，元康盛景23号 to 扬讯；睿昕1次 (144259.SZ)，400w，64.003全价，3/2，扬讯 to 苏信Z2502；</t>
        </is>
      </c>
      <c r="G37" s="0" t="inlineStr">
        <is>
          <t> </t>
        </is>
      </c>
    </row>
    <row r="38">
      <c r="A38" s="156" t="n">
        <v>46083</v>
      </c>
      <c r="B38" s="112" t="inlineStr">
        <is>
          <t>熹焱07A3</t>
        </is>
      </c>
      <c r="C38" s="112" t="n"/>
      <c r="D38" s="576">
        <f>P35</f>
        <v/>
      </c>
      <c r="E38" s="563">
        <f>+E37+C38-D38</f>
        <v/>
      </c>
      <c r="F38" s="0" t="inlineStr">
        <is>
          <t>熹焱07A3[144671.SZ] ，450w，净价72.803，3/2，元康26号 to 扬讯；熹焱07A3[144671.SZ] ，450w，净价72.813，3/2， 扬讯 to 苏信Z2502；</t>
        </is>
      </c>
      <c r="G38" s="0" t="inlineStr">
        <is>
          <t> </t>
        </is>
      </c>
      <c r="H38" s="1" t="inlineStr">
        <is>
          <t>铁建051C</t>
        </is>
      </c>
      <c r="I38" s="464">
        <f>XIRR(I39:I40,H39:H40)</f>
        <v/>
      </c>
      <c r="J38" s="0" t="n"/>
      <c r="K38" s="0" t="n"/>
      <c r="L38" s="0" t="n"/>
      <c r="M38" s="0" t="inlineStr">
        <is>
          <t>铁建Y28C</t>
        </is>
      </c>
      <c r="N38" s="464">
        <f>XIRR(N39:N40,M39:M40)</f>
        <v/>
      </c>
      <c r="R38" s="0" t="inlineStr">
        <is>
          <t>5美意3次</t>
        </is>
      </c>
      <c r="S38" s="464">
        <f>XIRR(S39:S40,R39:R40)</f>
        <v/>
      </c>
    </row>
    <row r="39">
      <c r="A39" s="156" t="n">
        <v>46084</v>
      </c>
      <c r="B39" s="620" t="inlineStr">
        <is>
          <t>铁建Y28C</t>
        </is>
      </c>
      <c r="C39" s="112" t="n"/>
      <c r="D39" s="576">
        <f>P32</f>
        <v/>
      </c>
      <c r="E39" s="563">
        <f>+E38+C39-D39</f>
        <v/>
      </c>
      <c r="F39" s="0" t="inlineStr">
        <is>
          <t>铁建Y28C，267372.SH，2860w，100.962,3/3，国泰海通 樊文娟 to 苏信财富组合添利Z2502集合资金信托计划，徐健qq455768073</t>
        </is>
      </c>
      <c r="G39" s="0" t="inlineStr">
        <is>
          <t> </t>
        </is>
      </c>
      <c r="H39" s="1" t="n">
        <v>46038</v>
      </c>
      <c r="I39" s="0" t="n">
        <v>-111.075</v>
      </c>
      <c r="J39" s="0" t="n"/>
      <c r="K39" s="0" t="n"/>
      <c r="L39" s="0" t="n"/>
      <c r="M39" s="1" t="n">
        <v>46006</v>
      </c>
      <c r="N39" s="0" t="n">
        <v>-100</v>
      </c>
      <c r="R39" s="1" t="n">
        <v>45615</v>
      </c>
      <c r="S39" s="0" t="n">
        <v>-100</v>
      </c>
    </row>
    <row r="40">
      <c r="A40" s="156" t="n"/>
      <c r="B40" s="112" t="n"/>
      <c r="C40" s="112" t="n"/>
      <c r="D40" s="112" t="n"/>
      <c r="E40" s="572">
        <f>+E39+C40-D40</f>
        <v/>
      </c>
      <c r="H40" s="1" t="n">
        <v>46083</v>
      </c>
      <c r="I40" s="0" t="n">
        <v>111.89</v>
      </c>
      <c r="J40" s="0">
        <f>-I39*(1+K40*(H40-H39)/365)</f>
        <v/>
      </c>
      <c r="K40" s="464" t="n">
        <v>0.06</v>
      </c>
      <c r="L40" s="0" t="n"/>
      <c r="M40" s="1" t="n">
        <v>46084</v>
      </c>
      <c r="N40" s="0" t="n">
        <v>100.962</v>
      </c>
      <c r="O40" s="0">
        <f>-N39*(1+P40*(M40-M39)/365)</f>
        <v/>
      </c>
      <c r="P40" s="464" t="n">
        <v>0.045</v>
      </c>
      <c r="R40" s="1" t="n">
        <v>46083</v>
      </c>
      <c r="S40" s="0" t="n">
        <v>107.565</v>
      </c>
      <c r="T40" s="0">
        <f>-S39*(1+U40*(R40-R39)/365)</f>
        <v/>
      </c>
      <c r="U40" s="464" t="n">
        <v>0.059</v>
      </c>
    </row>
    <row r="41">
      <c r="A41" s="156" t="n">
        <v>46092</v>
      </c>
      <c r="B41" s="112" t="inlineStr">
        <is>
          <t>回款</t>
        </is>
      </c>
      <c r="C41" s="112" t="n">
        <v>124.5</v>
      </c>
      <c r="D41" s="112" t="n"/>
      <c r="E41" s="591" t="n">
        <v>654</v>
      </c>
      <c r="F41" s="0" t="inlineStr">
        <is>
          <t>支付管理费</t>
        </is>
      </c>
      <c r="K41" s="0" t="n"/>
      <c r="L41" s="0" t="n"/>
      <c r="M41" s="0" t="n"/>
    </row>
    <row r="42">
      <c r="A42" s="156" t="n">
        <v>46094</v>
      </c>
      <c r="B42" s="112" t="inlineStr">
        <is>
          <t>睿铭3次</t>
        </is>
      </c>
      <c r="C42" s="112" t="n"/>
      <c r="D42" s="112">
        <f>600*105.481%</f>
        <v/>
      </c>
      <c r="E42" s="572">
        <f>+E41+C42-D42</f>
        <v/>
      </c>
      <c r="F42" s="0" t="inlineStr">
        <is>
          <t>睿铭3次 (264171.SH)，600w，105.481全价，3/13，西藏君集2号 to 苏信Z2502</t>
        </is>
      </c>
      <c r="G42" s="0" t="inlineStr">
        <is>
          <t> </t>
        </is>
      </c>
      <c r="H42" s="0" t="inlineStr">
        <is>
          <t>5美意1次</t>
        </is>
      </c>
      <c r="I42" s="464">
        <f>XIRR(I43:I44,H43:H44)</f>
        <v/>
      </c>
      <c r="J42" s="0" t="n"/>
      <c r="K42" s="0" t="n"/>
      <c r="L42" s="0" t="n"/>
      <c r="M42" s="0" t="inlineStr">
        <is>
          <t>4美意6次</t>
        </is>
      </c>
      <c r="N42" s="464">
        <f>XIRR(N43:N44,M43:M44)</f>
        <v/>
      </c>
      <c r="R42" s="565" t="inlineStr">
        <is>
          <t>5美好3次</t>
        </is>
      </c>
      <c r="S42" s="464">
        <f>XIRR(S43:S44,R43:R44)</f>
        <v/>
      </c>
      <c r="U42" s="0" t="inlineStr">
        <is>
          <t>5美意3次</t>
        </is>
      </c>
      <c r="V42" s="464">
        <f>XIRR(V43:V44,U43:U44)</f>
        <v/>
      </c>
    </row>
    <row r="43">
      <c r="A43" s="156" t="n">
        <v>46097</v>
      </c>
      <c r="B43" s="112" t="inlineStr">
        <is>
          <t>回款</t>
        </is>
      </c>
      <c r="C43" s="112" t="n">
        <v>594</v>
      </c>
      <c r="D43" s="112" t="n"/>
      <c r="E43" s="572">
        <f>+E42+C43-D43</f>
        <v/>
      </c>
      <c r="H43" s="1" t="n">
        <v>45532</v>
      </c>
      <c r="I43" s="0" t="n">
        <v>-100</v>
      </c>
      <c r="J43" s="0" t="n"/>
      <c r="K43" s="0" t="n"/>
      <c r="L43" s="0" t="n"/>
      <c r="M43" s="1" t="n">
        <v>45496</v>
      </c>
      <c r="N43" s="0" t="n">
        <v>-100</v>
      </c>
      <c r="R43" s="266" t="n">
        <v>45562</v>
      </c>
      <c r="S43" s="579" t="n">
        <v>-100</v>
      </c>
      <c r="U43" s="1" t="n">
        <v>45615</v>
      </c>
      <c r="V43" s="579" t="n">
        <v>-100</v>
      </c>
    </row>
    <row r="44">
      <c r="A44" s="156" t="n">
        <v>46097</v>
      </c>
      <c r="B44" s="112" t="inlineStr">
        <is>
          <t>睿铭3次</t>
        </is>
      </c>
      <c r="C44" s="112" t="n"/>
      <c r="D44" s="112">
        <f>534*105.54%</f>
        <v/>
      </c>
      <c r="E44" s="572">
        <f>+E43+C44-D44</f>
        <v/>
      </c>
      <c r="F44" s="0" t="inlineStr">
        <is>
          <t>睿铭3次 (264171.SH)，534w，105.54全价，3/16，西藏君达5号 to 苏信Z2502</t>
        </is>
      </c>
      <c r="G44" s="0" t="inlineStr">
        <is>
          <t> </t>
        </is>
      </c>
      <c r="H44" s="1" t="n">
        <v>46083</v>
      </c>
      <c r="I44" s="0" t="n">
        <v>108.814</v>
      </c>
      <c r="J44" s="0">
        <f>-I43*(1+K44*(H44-H43)/365)</f>
        <v/>
      </c>
      <c r="K44" s="464" t="n">
        <v>0.0584</v>
      </c>
      <c r="L44" s="0" t="n"/>
      <c r="M44" s="1" t="n">
        <v>46083</v>
      </c>
      <c r="N44" s="0" t="n">
        <v>109.42</v>
      </c>
      <c r="O44" s="0">
        <f>-N43*(1+P44*(M44-M43)/365)</f>
        <v/>
      </c>
      <c r="P44" s="464" t="n">
        <v>0.0586</v>
      </c>
      <c r="R44" s="266" t="n">
        <v>46090</v>
      </c>
      <c r="S44" s="579">
        <f>-S43*(1+5.9%*(R44-R43)/365)</f>
        <v/>
      </c>
      <c r="U44" s="117" t="n">
        <v>46090</v>
      </c>
      <c r="V44" s="579">
        <f>-V43*(1+5.9%*(U44-U43)/365)</f>
        <v/>
      </c>
    </row>
    <row r="45">
      <c r="A45" s="156" t="n"/>
      <c r="B45" s="112" t="n"/>
      <c r="C45" s="112" t="n"/>
      <c r="D45" s="112" t="n"/>
      <c r="E45" s="572">
        <f>+E44+C45-D45</f>
        <v/>
      </c>
      <c r="K45" s="0" t="n"/>
      <c r="L45" s="0" t="n"/>
      <c r="M45" s="0" t="n"/>
    </row>
    <row r="46">
      <c r="A46" s="156" t="n"/>
      <c r="B46" s="112" t="n"/>
      <c r="C46" s="112" t="n"/>
      <c r="D46" s="112" t="n"/>
      <c r="E46" s="572">
        <f>+E45+C46-D46</f>
        <v/>
      </c>
      <c r="AI46" s="117" t="n">
        <v>46100</v>
      </c>
    </row>
    <row r="47">
      <c r="E47" s="563">
        <f>+E46+C47-D47</f>
        <v/>
      </c>
      <c r="J47" s="0" t="inlineStr">
        <is>
          <t>证券名称</t>
        </is>
      </c>
      <c r="K47" s="565" t="inlineStr">
        <is>
          <t>代码</t>
        </is>
      </c>
      <c r="L47" s="565" t="inlineStr">
        <is>
          <t>票息（预期）</t>
        </is>
      </c>
      <c r="M47" s="564" t="inlineStr">
        <is>
          <t>数量</t>
        </is>
      </c>
      <c r="N47" s="0" t="inlineStr">
        <is>
          <t>净价</t>
        </is>
      </c>
      <c r="O47" s="0" t="inlineStr">
        <is>
          <t>全价</t>
        </is>
      </c>
      <c r="P47" s="0" t="inlineStr">
        <is>
          <t>规模</t>
        </is>
      </c>
      <c r="Q47" s="0" t="inlineStr">
        <is>
          <t>交易日期</t>
        </is>
      </c>
      <c r="R47" s="0" t="inlineStr">
        <is>
          <t>后手收益率</t>
        </is>
      </c>
      <c r="S47" s="0" t="inlineStr">
        <is>
          <t>最新估值</t>
        </is>
      </c>
      <c r="T47" s="0" t="inlineStr">
        <is>
          <t>估值日期</t>
        </is>
      </c>
      <c r="U47" s="0" t="inlineStr">
        <is>
          <t>估值后手收益率</t>
        </is>
      </c>
      <c r="V47" s="0" t="inlineStr">
        <is>
          <t>最新评级</t>
        </is>
      </c>
      <c r="W47" s="0" t="inlineStr">
        <is>
          <t>上个付息日</t>
        </is>
      </c>
      <c r="X47" s="0" t="inlineStr">
        <is>
          <t>应计利息</t>
        </is>
      </c>
      <c r="Y47" s="0" t="inlineStr">
        <is>
          <t>起息日</t>
        </is>
      </c>
      <c r="Z47" s="0" t="inlineStr">
        <is>
          <t>本金开始摊还日</t>
        </is>
      </c>
      <c r="AA47" s="0" t="inlineStr">
        <is>
          <t>预计到期日</t>
        </is>
      </c>
      <c r="AB47" s="0" t="inlineStr">
        <is>
          <t>剩余面值</t>
        </is>
      </c>
      <c r="AD47" s="0" t="inlineStr">
        <is>
          <t>过桥</t>
        </is>
      </c>
      <c r="AF47" s="0" t="inlineStr">
        <is>
          <t>上家</t>
        </is>
      </c>
      <c r="AG47" s="0" t="inlineStr">
        <is>
          <t>过券1</t>
        </is>
      </c>
      <c r="AH47" s="0" t="inlineStr">
        <is>
          <t>过券2</t>
        </is>
      </c>
      <c r="AI47" s="0" t="inlineStr">
        <is>
          <t>中证</t>
        </is>
      </c>
    </row>
    <row r="48">
      <c r="A48" s="156" t="n">
        <v>46101</v>
      </c>
      <c r="B48" s="112" t="inlineStr">
        <is>
          <t>申购</t>
        </is>
      </c>
      <c r="C48" s="112" t="n">
        <v>11650</v>
      </c>
      <c r="D48" s="112" t="n"/>
      <c r="E48" s="572">
        <f>+E47+C48-D48</f>
        <v/>
      </c>
      <c r="J48" s="0" t="inlineStr">
        <is>
          <t>熠安02A3</t>
        </is>
      </c>
      <c r="K48" s="565" t="inlineStr">
        <is>
          <t>144651.SZ</t>
        </is>
      </c>
      <c r="L48" s="575" t="n">
        <v>0.043</v>
      </c>
      <c r="M48" s="0" t="n">
        <v>3200</v>
      </c>
      <c r="N48" s="616">
        <f>AH48</f>
        <v/>
      </c>
      <c r="O48" s="573">
        <f>N48+AE48+X48</f>
        <v/>
      </c>
      <c r="P48" s="564">
        <f>M48*O48/100</f>
        <v/>
      </c>
      <c r="Q48" s="117" t="n">
        <v>46105</v>
      </c>
      <c r="R48" s="150">
        <f>U48</f>
        <v/>
      </c>
      <c r="S48" s="0" t="n">
        <v>61.4208</v>
      </c>
      <c r="T48" s="117" t="n">
        <v>46101</v>
      </c>
      <c r="U48" s="150" t="n">
        <v>0.037134</v>
      </c>
      <c r="V48" s="0" t="inlineStr">
        <is>
          <t>AAA</t>
        </is>
      </c>
      <c r="W48" s="1" t="n">
        <v>46097</v>
      </c>
      <c r="X48" s="586">
        <f>AB48*L48/365*(Q48-W48+1)</f>
        <v/>
      </c>
      <c r="Y48" s="1" t="n">
        <v>45559</v>
      </c>
      <c r="Z48" s="283" t="n">
        <v>46037</v>
      </c>
      <c r="AA48" s="283" t="n">
        <v>46461</v>
      </c>
      <c r="AB48" s="0" t="n">
        <v>61.32</v>
      </c>
      <c r="AD48" s="0" t="inlineStr">
        <is>
          <t>粤开、天风</t>
        </is>
      </c>
      <c r="AF48" s="0" t="n">
        <v>61.42</v>
      </c>
      <c r="AG48" s="0">
        <f>+AF48+0.005</f>
        <v/>
      </c>
      <c r="AH48" s="616">
        <f>+AG48+0.005</f>
        <v/>
      </c>
      <c r="AI48" s="0" t="n">
        <v>61.71</v>
      </c>
      <c r="AJ48" s="0">
        <f>+(AI48-AF48)*M48*100</f>
        <v/>
      </c>
      <c r="AK48" s="0">
        <f>J48&amp;"["&amp;K48&amp;"]，"&amp;M48&amp;"w，"&amp;N48&amp;"，"&amp;TEXT(Q48,"m月d日")&amp;"，"&amp;AD51&amp;" to 苏信2502"</f>
        <v/>
      </c>
    </row>
    <row r="49">
      <c r="A49" s="156" t="n">
        <v>46104</v>
      </c>
      <c r="B49" s="112" t="inlineStr">
        <is>
          <t>底层回款</t>
        </is>
      </c>
      <c r="C49" s="112" t="n">
        <v>683</v>
      </c>
      <c r="D49" s="112" t="n"/>
      <c r="E49" s="572">
        <f>+E48+C49-D49</f>
        <v/>
      </c>
      <c r="J49" s="0" t="inlineStr">
        <is>
          <t>小鹏5次</t>
        </is>
      </c>
      <c r="K49" s="565" t="inlineStr">
        <is>
          <t>500447.SZ</t>
        </is>
      </c>
      <c r="L49" s="575" t="n">
        <v>0.068</v>
      </c>
      <c r="M49" s="0" t="n">
        <v>2000</v>
      </c>
      <c r="N49" s="0">
        <f>AH49</f>
        <v/>
      </c>
      <c r="O49" s="573">
        <f>N49+AE49+X49</f>
        <v/>
      </c>
      <c r="P49" s="564">
        <f>M49*O49/100</f>
        <v/>
      </c>
      <c r="Q49" s="117" t="n">
        <v>46105</v>
      </c>
      <c r="R49" s="150" t="n">
        <v>0.0665</v>
      </c>
      <c r="S49" s="276" t="n">
        <v>100.6643</v>
      </c>
      <c r="T49" s="117" t="n">
        <v>46101</v>
      </c>
      <c r="U49" s="575" t="n">
        <v>0.068</v>
      </c>
      <c r="V49" s="0" t="inlineStr">
        <is>
          <t>NA</t>
        </is>
      </c>
      <c r="W49" s="1" t="n">
        <v>46066</v>
      </c>
      <c r="X49" s="0" t="n">
        <v>0</v>
      </c>
      <c r="Y49" s="1" t="n">
        <v>46066</v>
      </c>
      <c r="Z49" s="283" t="n">
        <v>47154</v>
      </c>
      <c r="AA49" s="283" t="n">
        <v>47519</v>
      </c>
      <c r="AB49" s="0" t="n">
        <v>100</v>
      </c>
      <c r="AD49" s="0" t="inlineStr">
        <is>
          <t>粤开、天风</t>
        </is>
      </c>
      <c r="AF49" s="0" t="n">
        <v>101.1</v>
      </c>
      <c r="AG49" s="0">
        <f>+AF49+0.005</f>
        <v/>
      </c>
      <c r="AH49" s="616">
        <f>+AG49+0.005</f>
        <v/>
      </c>
      <c r="AJ49" s="0">
        <f>+(S49-AF49)*M49*100</f>
        <v/>
      </c>
      <c r="AK49" s="0">
        <f>J49&amp;"["&amp;K49&amp;"]，"&amp;M49&amp;"w，"&amp;N49&amp;"，"&amp;TEXT(Q49,"m月d日")&amp;"，"&amp;AD52&amp;" to 苏信2502"</f>
        <v/>
      </c>
    </row>
    <row r="50">
      <c r="E50" s="563">
        <f>+E49+C50-D50</f>
        <v/>
      </c>
      <c r="J50" s="0" t="n"/>
      <c r="L50" s="575" t="n"/>
      <c r="M50" s="0" t="n"/>
      <c r="O50" s="579" t="n"/>
      <c r="P50" s="564">
        <f>SUM(P48:P49)</f>
        <v/>
      </c>
      <c r="Q50" s="117" t="n"/>
      <c r="R50" s="575" t="n"/>
      <c r="V50" s="276" t="n"/>
      <c r="W50" s="117" t="n"/>
      <c r="X50" s="575" t="n"/>
      <c r="AB50" s="1" t="n"/>
      <c r="AC50" s="283" t="n"/>
      <c r="AD50" s="283" t="n"/>
      <c r="AJ50" s="0">
        <f>SUM(AJ48:AJ49)</f>
        <v/>
      </c>
    </row>
    <row r="51">
      <c r="A51" s="156" t="n">
        <v>46105</v>
      </c>
      <c r="B51" s="320" t="inlineStr">
        <is>
          <t>熠安02A3</t>
        </is>
      </c>
      <c r="C51" s="578" t="n"/>
      <c r="D51" s="578">
        <f>+P48</f>
        <v/>
      </c>
      <c r="E51" s="572">
        <f>+E50+C51-D51</f>
        <v/>
      </c>
      <c r="F51" s="0" t="inlineStr">
        <is>
          <t>熠安02A3[144651.SZ]，3200w，61.43，3月24日，天风证券 唐德婷qt 2885078648 to 苏信2502</t>
        </is>
      </c>
      <c r="G51" s="292" t="n"/>
      <c r="H51" s="564" t="n"/>
      <c r="I51" s="565" t="n"/>
    </row>
    <row r="52">
      <c r="A52" s="156" t="n">
        <v>46105</v>
      </c>
      <c r="B52" s="320" t="inlineStr">
        <is>
          <t>小鹏5次</t>
        </is>
      </c>
      <c r="C52" s="578" t="n"/>
      <c r="D52" s="578">
        <f>+P49</f>
        <v/>
      </c>
      <c r="E52" s="572">
        <f>+E51+C52-D52</f>
        <v/>
      </c>
      <c r="F52" s="0" t="inlineStr">
        <is>
          <t>小鹏5次[500447.SZ]，2000w，101.11，3月24日，天风证券 唐德婷qt 2885078648 to 苏信2502</t>
        </is>
      </c>
      <c r="G52" s="291" t="n"/>
      <c r="H52" s="564" t="n"/>
      <c r="I52" s="565" t="n"/>
    </row>
    <row r="53">
      <c r="A53" s="156" t="n"/>
      <c r="B53" s="112" t="n"/>
      <c r="C53" s="112" t="n"/>
      <c r="D53" s="112" t="n"/>
      <c r="E53" s="572">
        <f>+E52+C53-D53</f>
        <v/>
      </c>
      <c r="H53" s="564" t="n"/>
      <c r="I53" s="565" t="n"/>
      <c r="O53" s="0" t="inlineStr">
        <is>
          <t>铁建081C</t>
        </is>
      </c>
      <c r="P53" s="464">
        <f>XIRR(P54:P57,O54:O57)</f>
        <v/>
      </c>
      <c r="R53" s="0" t="inlineStr">
        <is>
          <t>G铁建82C</t>
        </is>
      </c>
      <c r="S53" s="464">
        <f>XIRR(S54:S57,R54:R57)</f>
        <v/>
      </c>
    </row>
    <row r="54">
      <c r="A54" s="156" t="n">
        <v>46108</v>
      </c>
      <c r="B54" s="112" t="inlineStr">
        <is>
          <t>底层回款</t>
        </is>
      </c>
      <c r="C54" s="112" t="n">
        <v>340</v>
      </c>
      <c r="D54" s="112" t="n"/>
      <c r="E54" s="572" t="n">
        <v>8737</v>
      </c>
      <c r="H54" s="564" t="n"/>
      <c r="I54" s="565" t="n"/>
      <c r="O54" s="1" t="n">
        <v>45832</v>
      </c>
      <c r="P54" s="0" t="n">
        <v>-100</v>
      </c>
      <c r="R54" s="1" t="n">
        <v>45923</v>
      </c>
      <c r="S54" s="0" t="n">
        <v>-100</v>
      </c>
    </row>
    <row r="55">
      <c r="A55" s="156" t="n">
        <v>46111</v>
      </c>
      <c r="B55" s="112" t="inlineStr">
        <is>
          <t>铁建051C</t>
        </is>
      </c>
      <c r="C55" s="578" t="n"/>
      <c r="D55" s="578">
        <f>1755*1.12</f>
        <v/>
      </c>
      <c r="E55" s="572">
        <f>+E54+C55-D55</f>
        <v/>
      </c>
      <c r="F55" s="0" t="inlineStr">
        <is>
          <t>3、3-30   铁建051C (199768.SH)   112.488  1755W   粤开证券（QT:2881647849）出 苏信财富Z2502，徐健</t>
        </is>
      </c>
      <c r="O55" s="1" t="n">
        <v>45958.00049768519</v>
      </c>
      <c r="P55" s="0" t="n">
        <v>1.726</v>
      </c>
      <c r="R55" s="117" t="n">
        <v>46080</v>
      </c>
      <c r="S55" s="0" t="n">
        <v>2.1506</v>
      </c>
    </row>
    <row r="56">
      <c r="A56" s="156" t="n"/>
      <c r="B56" s="112" t="n"/>
      <c r="C56" s="578" t="n"/>
      <c r="D56" s="578" t="n"/>
      <c r="E56" s="572">
        <f>+E55+C56-D56</f>
        <v/>
      </c>
      <c r="O56" s="1" t="n">
        <v>46044.00049768519</v>
      </c>
      <c r="P56" s="0" t="n">
        <v>1.1781</v>
      </c>
      <c r="R56" s="117" t="n">
        <v>46132</v>
      </c>
      <c r="S56" s="201" t="n">
        <v>101.571</v>
      </c>
    </row>
    <row r="57">
      <c r="A57" s="156" t="n"/>
      <c r="B57" s="112" t="n"/>
      <c r="C57" s="578" t="n"/>
      <c r="D57" s="578" t="n"/>
      <c r="E57" s="572">
        <f>+E56+C57-D57</f>
        <v/>
      </c>
      <c r="J57" s="0" t="n"/>
      <c r="O57" s="1" t="n">
        <v>46132</v>
      </c>
      <c r="P57" s="201" t="n">
        <v>102.438</v>
      </c>
      <c r="R57" s="117" t="n"/>
    </row>
    <row r="58">
      <c r="A58" s="156" t="n"/>
      <c r="B58" s="112" t="n"/>
      <c r="C58" s="578" t="n"/>
      <c r="D58" s="578" t="n"/>
      <c r="E58" s="572" t="n">
        <v>6761</v>
      </c>
      <c r="I58" s="623" t="n"/>
      <c r="J58" s="0" t="inlineStr">
        <is>
          <t> </t>
        </is>
      </c>
      <c r="L58" s="575" t="n"/>
      <c r="M58" s="0" t="n"/>
      <c r="N58" s="616" t="n"/>
      <c r="Q58" s="117" t="n"/>
      <c r="R58" s="117" t="n"/>
      <c r="T58" s="117" t="n"/>
      <c r="U58" s="150" t="n"/>
      <c r="W58" s="1" t="n"/>
      <c r="X58" s="586" t="n"/>
      <c r="Y58" s="1" t="n"/>
      <c r="Z58" s="1" t="n"/>
      <c r="AA58" s="1" t="n"/>
    </row>
    <row r="59">
      <c r="A59" s="156" t="n">
        <v>46125</v>
      </c>
      <c r="B59" s="112" t="inlineStr">
        <is>
          <t>泓晟1号3期次级回款</t>
        </is>
      </c>
      <c r="C59" s="578" t="n">
        <v>942</v>
      </c>
      <c r="D59" s="578" t="n"/>
      <c r="E59" s="572">
        <f>+E58+C59-D59</f>
        <v/>
      </c>
      <c r="I59" s="623" t="n"/>
      <c r="J59" s="0" t="n"/>
      <c r="L59" s="575" t="n"/>
      <c r="M59" s="0" t="n"/>
      <c r="N59" s="616" t="n"/>
      <c r="Q59" s="117" t="n"/>
      <c r="R59" s="150" t="n"/>
      <c r="T59" s="117" t="n"/>
      <c r="U59" s="150" t="n"/>
      <c r="W59" s="1" t="n"/>
      <c r="X59" s="586" t="n"/>
      <c r="Y59" s="1" t="n"/>
      <c r="Z59" s="1" t="n"/>
      <c r="AA59" s="1" t="n"/>
    </row>
    <row r="60">
      <c r="A60" s="156" t="n"/>
      <c r="B60" s="112" t="inlineStr">
        <is>
          <t>5美意1次回款</t>
        </is>
      </c>
      <c r="C60" s="578" t="n">
        <v>192.4</v>
      </c>
      <c r="D60" s="578" t="n"/>
      <c r="E60" s="572">
        <f>+E59+C60-D60</f>
        <v/>
      </c>
      <c r="I60" s="623" t="n"/>
      <c r="J60" s="0" t="inlineStr">
        <is>
          <t> </t>
        </is>
      </c>
      <c r="L60" s="575" t="n"/>
      <c r="M60" s="0" t="n"/>
      <c r="N60" s="616" t="n"/>
      <c r="Q60" s="117" t="n"/>
      <c r="R60" s="150" t="n"/>
      <c r="T60" s="117" t="n"/>
      <c r="U60" s="150" t="n"/>
      <c r="W60" s="1" t="n"/>
      <c r="X60" s="586" t="n"/>
      <c r="Y60" s="1" t="n"/>
      <c r="Z60" s="1" t="n"/>
      <c r="AA60" s="1" t="n"/>
    </row>
    <row r="61">
      <c r="A61" s="156" t="n"/>
      <c r="B61" s="112" t="n"/>
      <c r="C61" s="578" t="n"/>
      <c r="D61" s="578" t="n"/>
      <c r="E61" s="572">
        <f>+E60+C61-D61</f>
        <v/>
      </c>
      <c r="I61" s="623" t="n"/>
      <c r="J61" s="0" t="n"/>
      <c r="L61" s="575" t="n"/>
      <c r="M61" s="0" t="n"/>
      <c r="N61" s="616" t="n"/>
      <c r="Q61" s="117" t="n"/>
      <c r="R61" s="150" t="n"/>
      <c r="U61" s="150" t="n"/>
      <c r="W61" s="1" t="n"/>
      <c r="X61" s="586" t="n"/>
      <c r="Y61" s="1" t="n"/>
      <c r="Z61" s="1" t="n"/>
      <c r="AA61" s="1" t="n"/>
    </row>
    <row r="62">
      <c r="A62" s="156" t="n">
        <v>46127</v>
      </c>
      <c r="B62" s="112" t="inlineStr">
        <is>
          <t>回款</t>
        </is>
      </c>
      <c r="C62" s="578" t="n">
        <v>885</v>
      </c>
      <c r="D62" s="578" t="n"/>
      <c r="E62" s="572">
        <f>+E61+C62-D62</f>
        <v/>
      </c>
      <c r="I62" s="623" t="n"/>
      <c r="J62" s="0" t="n"/>
      <c r="L62" s="575" t="n"/>
      <c r="M62" s="0" t="n"/>
      <c r="N62" s="616">
        <f>+T62*1.01</f>
        <v/>
      </c>
      <c r="Q62" s="117" t="n"/>
      <c r="R62" s="150" t="n"/>
      <c r="T62" s="0">
        <f>+S64+8.5*4/365</f>
        <v/>
      </c>
      <c r="U62" s="150" t="n"/>
      <c r="W62" s="1" t="n"/>
      <c r="X62" s="586" t="n"/>
      <c r="Y62" s="1" t="n"/>
      <c r="Z62" s="1" t="n"/>
      <c r="AA62" s="1" t="n"/>
    </row>
    <row r="63">
      <c r="A63" s="156" t="n"/>
      <c r="B63" s="112" t="n"/>
      <c r="C63" s="578" t="n"/>
      <c r="D63" s="578" t="n"/>
      <c r="E63" s="572">
        <f>+E62+C63-D63</f>
        <v/>
      </c>
      <c r="J63" s="112" t="inlineStr">
        <is>
          <t>证券名称</t>
        </is>
      </c>
      <c r="K63" s="618" t="inlineStr">
        <is>
          <t>代码</t>
        </is>
      </c>
      <c r="L63" s="618" t="inlineStr">
        <is>
          <t>票息（预期）</t>
        </is>
      </c>
      <c r="M63" s="578" t="inlineStr">
        <is>
          <t>数量</t>
        </is>
      </c>
      <c r="N63" s="112" t="inlineStr">
        <is>
          <t>净价</t>
        </is>
      </c>
      <c r="O63" s="112" t="inlineStr">
        <is>
          <t>全价</t>
        </is>
      </c>
      <c r="P63" s="112" t="inlineStr">
        <is>
          <t>规模</t>
        </is>
      </c>
      <c r="Q63" s="112" t="inlineStr">
        <is>
          <t>交易日期</t>
        </is>
      </c>
      <c r="R63" s="112" t="inlineStr">
        <is>
          <t>后手收益率</t>
        </is>
      </c>
      <c r="S63" s="112" t="inlineStr">
        <is>
          <t>最新估值</t>
        </is>
      </c>
      <c r="T63" s="112" t="inlineStr">
        <is>
          <t>估值日期</t>
        </is>
      </c>
      <c r="U63" s="112" t="inlineStr">
        <is>
          <t>估值后手收益率</t>
        </is>
      </c>
      <c r="V63" s="112" t="inlineStr">
        <is>
          <t>最新评级</t>
        </is>
      </c>
      <c r="W63" s="112" t="inlineStr">
        <is>
          <t>上个付息日</t>
        </is>
      </c>
      <c r="X63" s="112" t="inlineStr">
        <is>
          <t>应计利息</t>
        </is>
      </c>
      <c r="Y63" s="112" t="inlineStr">
        <is>
          <t>起息日</t>
        </is>
      </c>
      <c r="Z63" s="112" t="inlineStr">
        <is>
          <t>本金开始摊还日</t>
        </is>
      </c>
      <c r="AA63" s="112" t="inlineStr">
        <is>
          <t>预计到期日</t>
        </is>
      </c>
      <c r="AB63" s="0" t="inlineStr">
        <is>
          <t>剩余面值</t>
        </is>
      </c>
    </row>
    <row r="64">
      <c r="A64" s="156" t="n">
        <v>46128</v>
      </c>
      <c r="B64" s="112" t="inlineStr">
        <is>
          <t>铁建061C</t>
        </is>
      </c>
      <c r="C64" s="112" t="n"/>
      <c r="D64" s="112" t="n">
        <v>733</v>
      </c>
      <c r="E64" s="572">
        <f>+E63+C64-D64</f>
        <v/>
      </c>
      <c r="F64" s="562" t="inlineStr">
        <is>
          <t>铁建061C[260663.SH]，655w，112.02，4月16日，粤开证券 许逸潇2881647849 to 苏信Z2502  徐健 qt455768073</t>
        </is>
      </c>
      <c r="J64" s="112" t="inlineStr">
        <is>
          <t>铁建061C</t>
        </is>
      </c>
      <c r="K64" s="618" t="inlineStr">
        <is>
          <t>260663.SH</t>
        </is>
      </c>
      <c r="L64" s="624" t="n">
        <v>0.08500000000000001</v>
      </c>
      <c r="M64" s="112" t="n">
        <v>655</v>
      </c>
      <c r="N64" s="625" t="n">
        <v>112.02</v>
      </c>
      <c r="O64" s="625">
        <f>+N64</f>
        <v/>
      </c>
      <c r="P64" s="578">
        <f>M64*O64/100</f>
        <v/>
      </c>
      <c r="Q64" s="110" t="n">
        <v>46128</v>
      </c>
      <c r="R64" s="189" t="n">
        <v>0.055</v>
      </c>
      <c r="S64" s="112" t="n">
        <v>110.8278</v>
      </c>
      <c r="T64" s="110" t="n">
        <v>46125</v>
      </c>
      <c r="U64" s="189" t="n">
        <v>0.055</v>
      </c>
      <c r="V64" s="112" t="inlineStr">
        <is>
          <t>NR</t>
        </is>
      </c>
      <c r="W64" s="211" t="n">
        <v>45982</v>
      </c>
      <c r="X64" s="626" t="n">
        <v>0</v>
      </c>
      <c r="Y64" s="211" t="n">
        <v>45187</v>
      </c>
      <c r="Z64" s="211" t="n">
        <v>46283</v>
      </c>
      <c r="AA64" s="211" t="n">
        <v>46283</v>
      </c>
      <c r="AB64" s="0" t="n">
        <v>100</v>
      </c>
      <c r="AC64" s="0">
        <f>J64&amp;"["&amp;K64&amp;"]，"&amp;M64&amp;"w，"&amp;N64&amp;"，"&amp;TEXT(Q64,"m月d日")&amp;"，"&amp;AE64&amp;" to "&amp;AF64</f>
        <v/>
      </c>
      <c r="AE64" s="0" t="inlineStr">
        <is>
          <t>【】</t>
        </is>
      </c>
      <c r="AF64" s="0" t="inlineStr">
        <is>
          <t>苏信Z2502</t>
        </is>
      </c>
    </row>
    <row r="65">
      <c r="A65" s="156" t="n">
        <v>46129</v>
      </c>
      <c r="B65" s="112" t="inlineStr">
        <is>
          <t>熠然04A3</t>
        </is>
      </c>
      <c r="C65" s="112" t="n"/>
      <c r="D65" s="112" t="n">
        <v>2754</v>
      </c>
      <c r="E65" s="572">
        <f>+E64+C65-D65</f>
        <v/>
      </c>
      <c r="F65" s="562" t="inlineStr">
        <is>
          <t>熠然04A3[146002.SZ]，2940w，93.671，4月17日，天风证券 李泽堃3007354220 to 苏信Z2502 徐健 qt455768073</t>
        </is>
      </c>
      <c r="AF65" s="0" t="inlineStr">
        <is>
          <t>苏信Z2502</t>
        </is>
      </c>
    </row>
    <row r="66">
      <c r="A66" s="156" t="n"/>
      <c r="B66" s="112" t="n"/>
      <c r="C66" s="112" t="n"/>
      <c r="D66" s="112" t="n"/>
      <c r="E66" s="572">
        <f>+E65+C66-D66</f>
        <v/>
      </c>
      <c r="F66" s="577" t="n"/>
      <c r="J66" s="608" t="n"/>
      <c r="O66" s="627" t="n"/>
    </row>
    <row r="67">
      <c r="A67" s="156" t="n">
        <v>46132</v>
      </c>
      <c r="B67" s="112" t="inlineStr">
        <is>
          <t>申购</t>
        </is>
      </c>
      <c r="C67" s="112" t="n">
        <v>15445</v>
      </c>
      <c r="D67" s="112" t="n"/>
      <c r="E67" s="572">
        <f>+E66+C67-D67</f>
        <v/>
      </c>
      <c r="F67" s="577" t="n"/>
      <c r="J67" s="608" t="inlineStr">
        <is>
          <t>4/20交易</t>
        </is>
      </c>
      <c r="N67" s="0" t="n">
        <v>0.005</v>
      </c>
      <c r="O67" s="627">
        <f>N69-N67</f>
        <v/>
      </c>
    </row>
    <row r="68">
      <c r="A68" s="156" t="n">
        <v>46132</v>
      </c>
      <c r="B68" s="112" t="inlineStr">
        <is>
          <t>铁建081C</t>
        </is>
      </c>
      <c r="C68" s="112" t="n"/>
      <c r="D68" s="455" t="n">
        <v>1751.6898</v>
      </c>
      <c r="E68" s="572">
        <f>+E67+C68-D68</f>
        <v/>
      </c>
      <c r="F68" s="562" t="inlineStr">
        <is>
          <t>铁建081C（265587.SH），1045w，102.438，4月20日，清哲清信21号 Z13506 1549350975，李韧 to 苏信2502  徐健 qt455768073；铁建081C（265587.SH），665w，102.438，4月20日，鹏石启航9号 Z13506 3911232885，蔡一茂 to 苏信2502  徐健 qt455768073</t>
        </is>
      </c>
      <c r="H68" s="564" t="n"/>
      <c r="I68" s="565" t="n"/>
      <c r="J68" s="0" t="inlineStr">
        <is>
          <t>证券名称</t>
        </is>
      </c>
      <c r="K68" s="565" t="inlineStr">
        <is>
          <t>代码</t>
        </is>
      </c>
      <c r="L68" s="565" t="inlineStr">
        <is>
          <t>票息（预期）</t>
        </is>
      </c>
      <c r="M68" s="564" t="inlineStr">
        <is>
          <t>数量</t>
        </is>
      </c>
      <c r="N68" s="0" t="inlineStr">
        <is>
          <t>净价</t>
        </is>
      </c>
      <c r="O68" s="0" t="inlineStr">
        <is>
          <t>全价</t>
        </is>
      </c>
      <c r="P68" s="0" t="inlineStr">
        <is>
          <t>规模</t>
        </is>
      </c>
      <c r="Q68" s="0" t="inlineStr">
        <is>
          <t>交易日期</t>
        </is>
      </c>
      <c r="R68" s="0" t="inlineStr">
        <is>
          <t>后手收益率</t>
        </is>
      </c>
      <c r="S68" s="0" t="inlineStr">
        <is>
          <t>最新估值</t>
        </is>
      </c>
      <c r="T68" s="0" t="inlineStr">
        <is>
          <t>估值日期</t>
        </is>
      </c>
      <c r="U68" s="0" t="inlineStr">
        <is>
          <t>估值后手收益率</t>
        </is>
      </c>
      <c r="V68" s="0" t="inlineStr">
        <is>
          <t>最新评级</t>
        </is>
      </c>
      <c r="W68" s="0" t="inlineStr">
        <is>
          <t>上个付息日</t>
        </is>
      </c>
      <c r="X68" s="0" t="inlineStr">
        <is>
          <t>应计利息</t>
        </is>
      </c>
      <c r="Y68" s="0" t="inlineStr">
        <is>
          <t>起息日</t>
        </is>
      </c>
      <c r="Z68" s="0" t="inlineStr">
        <is>
          <t>本金开始摊还日</t>
        </is>
      </c>
      <c r="AA68" s="0" t="inlineStr">
        <is>
          <t>预计到期日</t>
        </is>
      </c>
      <c r="AB68" s="0" t="inlineStr">
        <is>
          <t>剩余面值</t>
        </is>
      </c>
    </row>
    <row r="69">
      <c r="A69" s="156" t="n">
        <v>46132</v>
      </c>
      <c r="B69" s="112" t="inlineStr">
        <is>
          <t>G铁建82C</t>
        </is>
      </c>
      <c r="C69" s="112" t="n"/>
      <c r="D69" s="112" t="n">
        <v>116.80665</v>
      </c>
      <c r="E69" s="572">
        <f>+E68+C69-D69</f>
        <v/>
      </c>
      <c r="F69" s="562" t="inlineStr">
        <is>
          <t>G铁建82C（266500.SH），115w，101.571，4月20日，鹏石启航9号 Z13506 3911232885，蔡一茂 to 苏信2502  徐健 qt455768073</t>
        </is>
      </c>
      <c r="H69" s="564" t="n"/>
      <c r="I69" s="628" t="inlineStr">
        <is>
          <t>待沟通</t>
        </is>
      </c>
      <c r="J69" s="112" t="inlineStr">
        <is>
          <t>熠然04A3</t>
        </is>
      </c>
      <c r="K69" s="618" t="inlineStr">
        <is>
          <t>146002.SZ</t>
        </is>
      </c>
      <c r="L69" s="450" t="n">
        <v>0.044</v>
      </c>
      <c r="M69" s="112" t="n">
        <v>2940</v>
      </c>
      <c r="N69" s="625">
        <f>ROUND(S69+0.005,3)</f>
        <v/>
      </c>
      <c r="O69" s="629">
        <f>N69+X69</f>
        <v/>
      </c>
      <c r="P69" s="578">
        <f>M69*O69/100</f>
        <v/>
      </c>
      <c r="Q69" s="110" t="n">
        <v>46129</v>
      </c>
      <c r="R69" s="189">
        <f>+U69</f>
        <v/>
      </c>
      <c r="S69" s="112" t="n">
        <v>93.6657</v>
      </c>
      <c r="T69" s="110" t="n">
        <v>46127</v>
      </c>
      <c r="U69" s="189" t="n">
        <v>0.0375</v>
      </c>
      <c r="V69" s="112" t="inlineStr">
        <is>
          <t>AAA</t>
        </is>
      </c>
      <c r="W69" s="211" t="n">
        <v>46127</v>
      </c>
      <c r="X69" s="626">
        <f>AB69*L69/365*(Q69-W69+1)</f>
        <v/>
      </c>
      <c r="Y69" s="211" t="n">
        <v>45651</v>
      </c>
      <c r="Z69" s="211" t="n">
        <v>46127</v>
      </c>
      <c r="AA69" s="211" t="n">
        <v>46736</v>
      </c>
      <c r="AB69" s="112" t="n">
        <v>93.41</v>
      </c>
      <c r="AC69" s="112">
        <f>J69&amp;"["&amp;K69&amp;"]，"&amp;M69&amp;"w，"&amp;N69&amp;"，"&amp;TEXT(Q69,"m月d日")&amp;"，"&amp;AE65&amp;" to "&amp;AF65</f>
        <v/>
      </c>
    </row>
    <row r="70">
      <c r="A70" s="156" t="n">
        <v>46132</v>
      </c>
      <c r="B70" s="112" t="inlineStr">
        <is>
          <t>启臻1次</t>
        </is>
      </c>
      <c r="C70" s="112" t="n"/>
      <c r="D70" s="112" t="n">
        <v>302.955</v>
      </c>
      <c r="E70" s="572">
        <f>+E69+C70-D70</f>
        <v/>
      </c>
      <c r="F70" s="562" t="inlineStr">
        <is>
          <t xml:space="preserve">启臻1次[266524.SH]，300w，100.986，4月20日， to </t>
        </is>
      </c>
      <c r="H70" s="564" t="n"/>
      <c r="I70" s="628" t="n"/>
      <c r="J70" s="565" t="inlineStr">
        <is>
          <t>铁建081C</t>
        </is>
      </c>
      <c r="L70" s="464" t="n"/>
      <c r="M70" s="348" t="n"/>
      <c r="N70" s="616" t="n"/>
      <c r="O70" s="595" t="n"/>
      <c r="P70" s="564" t="n">
        <v>1751.6898</v>
      </c>
      <c r="Q70" s="117" t="n"/>
      <c r="R70" s="150" t="n"/>
      <c r="T70" s="117" t="n"/>
      <c r="W70" s="1" t="n"/>
      <c r="X70" s="586" t="n"/>
      <c r="Y70" s="1" t="n"/>
      <c r="AA70" s="1" t="n"/>
    </row>
    <row r="71">
      <c r="A71" s="156" t="n">
        <v>46132</v>
      </c>
      <c r="B71" s="112" t="inlineStr">
        <is>
          <t>启悦15次</t>
        </is>
      </c>
      <c r="C71" s="112" t="n"/>
      <c r="D71" s="112" t="n">
        <v>312.837</v>
      </c>
      <c r="E71" s="572">
        <f>+E70+C71-D71</f>
        <v/>
      </c>
      <c r="F71" s="562" t="inlineStr">
        <is>
          <t xml:space="preserve">启悦15次[146285.SZ]，300w，104.28，4月20日， to </t>
        </is>
      </c>
      <c r="H71" s="564" t="n"/>
      <c r="I71" s="628" t="n"/>
      <c r="J71" s="565" t="inlineStr">
        <is>
          <t>G铁建82C</t>
        </is>
      </c>
      <c r="L71" s="464" t="n"/>
      <c r="M71" s="348" t="n"/>
      <c r="N71" s="616" t="n"/>
      <c r="O71" s="595" t="n"/>
      <c r="P71" s="564" t="n">
        <v>116.80665</v>
      </c>
      <c r="Q71" s="117" t="n"/>
      <c r="R71" s="150" t="n"/>
      <c r="T71" s="117" t="n"/>
      <c r="W71" s="1" t="n"/>
      <c r="X71" s="586" t="n"/>
      <c r="Y71" s="1" t="n"/>
      <c r="AA71" s="1" t="n"/>
    </row>
    <row r="72">
      <c r="A72" s="156" t="n">
        <v>46132</v>
      </c>
      <c r="B72" s="112" t="inlineStr">
        <is>
          <t>启恒1次</t>
        </is>
      </c>
      <c r="C72" s="112" t="n"/>
      <c r="D72" s="112" t="n">
        <v>503.955</v>
      </c>
      <c r="E72" s="572">
        <f>+E71+C72-D72</f>
        <v/>
      </c>
      <c r="F72" s="562" t="inlineStr">
        <is>
          <t xml:space="preserve">启恒1次[500486.SZ]，500w，100.792，4月20日， to </t>
        </is>
      </c>
      <c r="H72" s="564" t="n"/>
      <c r="I72" s="565" t="n"/>
      <c r="J72" s="565" t="inlineStr">
        <is>
          <t>启臻1次</t>
        </is>
      </c>
      <c r="K72" s="565" t="inlineStr">
        <is>
          <t>266524.SH</t>
        </is>
      </c>
      <c r="L72" s="464" t="n">
        <v>0.06</v>
      </c>
      <c r="M72" s="348" t="n">
        <v>300</v>
      </c>
      <c r="N72" s="616">
        <f>100.98+0.006</f>
        <v/>
      </c>
      <c r="O72" s="595">
        <f>N72+X72</f>
        <v/>
      </c>
      <c r="P72" s="564">
        <f>M72*O72/100</f>
        <v/>
      </c>
      <c r="Q72" s="117" t="n">
        <v>46132</v>
      </c>
      <c r="R72" s="150" t="n">
        <v>0.06</v>
      </c>
      <c r="S72" s="0" t="n">
        <v>100.7838</v>
      </c>
      <c r="T72" s="117" t="n">
        <v>46125</v>
      </c>
      <c r="V72" s="0" t="inlineStr">
        <is>
          <t>NR</t>
        </is>
      </c>
      <c r="W72" s="1" t="n">
        <v>46104</v>
      </c>
      <c r="X72" s="586" t="n">
        <v>0</v>
      </c>
      <c r="Y72" s="1" t="n">
        <v>45947</v>
      </c>
      <c r="AA72" s="1" t="n">
        <v>46958</v>
      </c>
      <c r="AB72" s="0" t="n">
        <v>100</v>
      </c>
      <c r="AC72" s="0">
        <f>J72&amp;"["&amp;K72&amp;"]，"&amp;M72&amp;"w，"&amp;N72&amp;"，"&amp;TEXT(Q72,"m月d日")&amp;"，"&amp;AE67&amp;" to "&amp;AF67</f>
        <v/>
      </c>
    </row>
    <row r="73">
      <c r="A73" s="156" t="n"/>
      <c r="B73" s="112" t="n"/>
      <c r="C73" s="112" t="n"/>
      <c r="D73" s="112" t="n"/>
      <c r="E73" s="572">
        <f>+E72+C73-D73</f>
        <v/>
      </c>
      <c r="H73" s="564" t="n"/>
      <c r="I73" s="565" t="n"/>
      <c r="J73" s="565" t="inlineStr">
        <is>
          <t>启悦15次</t>
        </is>
      </c>
      <c r="K73" s="565" t="inlineStr">
        <is>
          <t>146285.SZ</t>
        </is>
      </c>
      <c r="L73" s="464" t="n">
        <v>0.07000000000000001</v>
      </c>
      <c r="M73" s="348" t="n">
        <v>300</v>
      </c>
      <c r="N73" s="0">
        <f>104.274+0.006</f>
        <v/>
      </c>
      <c r="O73" s="595">
        <f>N73+X73</f>
        <v/>
      </c>
      <c r="P73" s="564">
        <f>M73*O73/100</f>
        <v/>
      </c>
      <c r="Q73" s="117" t="n">
        <v>46132</v>
      </c>
      <c r="R73" s="150" t="n">
        <v>0.068</v>
      </c>
      <c r="S73" s="0" t="n">
        <v>103.9983</v>
      </c>
      <c r="T73" s="117" t="n">
        <v>46125</v>
      </c>
      <c r="V73" s="0" t="inlineStr">
        <is>
          <t>NR</t>
        </is>
      </c>
      <c r="W73" s="1" t="n">
        <v>46104</v>
      </c>
      <c r="X73" s="586" t="n">
        <v>0</v>
      </c>
      <c r="Y73" s="1" t="n">
        <v>45757</v>
      </c>
      <c r="AA73" s="1" t="n">
        <v>46743</v>
      </c>
      <c r="AB73" s="0" t="n">
        <v>100</v>
      </c>
      <c r="AC73" s="0">
        <f>J73&amp;"["&amp;K73&amp;"]，"&amp;M73&amp;"w，"&amp;N73&amp;"，"&amp;TEXT(Q73,"m月d日")&amp;"，"&amp;AE68&amp;" to "&amp;AF68</f>
        <v/>
      </c>
    </row>
    <row r="74">
      <c r="A74" s="156" t="n"/>
      <c r="B74" s="112" t="n"/>
      <c r="C74" s="112" t="n"/>
      <c r="D74" s="112" t="n"/>
      <c r="E74" s="572">
        <f>+E73+C74-D74</f>
        <v/>
      </c>
      <c r="H74" s="564" t="n"/>
      <c r="I74" s="565" t="n"/>
      <c r="J74" s="565" t="inlineStr">
        <is>
          <t>启恒1次</t>
        </is>
      </c>
      <c r="K74" s="565" t="inlineStr">
        <is>
          <t>500486.SZ</t>
        </is>
      </c>
      <c r="L74" s="464" t="n">
        <v>0.0598</v>
      </c>
      <c r="M74" s="348" t="n">
        <v>500</v>
      </c>
      <c r="N74" s="0">
        <f>100.786+0.006</f>
        <v/>
      </c>
      <c r="O74" s="595">
        <f>N74+X74</f>
        <v/>
      </c>
      <c r="P74" s="564">
        <f>M74*O74/100</f>
        <v/>
      </c>
      <c r="Q74" s="117" t="n">
        <v>46132</v>
      </c>
      <c r="R74" s="150" t="n">
        <v>0.06</v>
      </c>
      <c r="S74" s="0" t="n">
        <v>100.6862</v>
      </c>
      <c r="T74" s="117" t="n">
        <v>46125</v>
      </c>
      <c r="V74" s="0" t="inlineStr">
        <is>
          <t>NR</t>
        </is>
      </c>
      <c r="W74" s="1" t="n">
        <v>46084</v>
      </c>
      <c r="X74" s="586" t="n">
        <v>0</v>
      </c>
      <c r="Y74" s="1" t="n">
        <v>46084</v>
      </c>
      <c r="AA74" s="1" t="n">
        <v>47079</v>
      </c>
      <c r="AB74" s="0" t="n">
        <v>100</v>
      </c>
      <c r="AC74" s="0">
        <f>J74&amp;"["&amp;K74&amp;"]，"&amp;M74&amp;"w，"&amp;N74&amp;"，"&amp;TEXT(Q74,"m月d日")&amp;"，"&amp;AE69&amp;" to "&amp;AF69</f>
        <v/>
      </c>
    </row>
    <row r="75">
      <c r="A75" s="156" t="n"/>
      <c r="B75" s="112" t="n"/>
      <c r="C75" s="112" t="n"/>
      <c r="D75" s="112" t="n"/>
      <c r="E75" s="572">
        <f>+E74+C75-D75</f>
        <v/>
      </c>
      <c r="H75" s="564" t="n"/>
      <c r="I75" s="565" t="n"/>
      <c r="J75" s="565" t="inlineStr">
        <is>
          <t>铁建081C</t>
        </is>
      </c>
      <c r="K75" s="565" t="inlineStr">
        <is>
          <t>265587.SH</t>
        </is>
      </c>
      <c r="L75" s="464" t="n">
        <v>0.08500000000000001</v>
      </c>
      <c r="M75" s="348">
        <f>1045+665</f>
        <v/>
      </c>
      <c r="N75" s="0" t="n">
        <v>102.438</v>
      </c>
      <c r="O75" s="0" t="n">
        <v>102.438</v>
      </c>
      <c r="P75" s="564">
        <f>M75*O75/100</f>
        <v/>
      </c>
      <c r="Q75" s="117" t="n">
        <v>46132</v>
      </c>
      <c r="R75" s="150" t="n">
        <v>0.055</v>
      </c>
      <c r="S75" s="0" t="n">
        <v>102.3218</v>
      </c>
      <c r="T75" s="117" t="n">
        <v>46127</v>
      </c>
      <c r="V75" s="0" t="inlineStr">
        <is>
          <t>NR</t>
        </is>
      </c>
      <c r="W75" s="1" t="n">
        <v>46044</v>
      </c>
      <c r="X75" s="586" t="n">
        <v>0</v>
      </c>
      <c r="Y75" s="1" t="n">
        <v>45832</v>
      </c>
      <c r="AA75" s="1" t="n">
        <v>46562</v>
      </c>
      <c r="AB75" s="0" t="n">
        <v>100</v>
      </c>
    </row>
    <row r="76">
      <c r="A76" s="156" t="n">
        <v>46133</v>
      </c>
      <c r="B76" s="112" t="inlineStr">
        <is>
          <t>晨惠2期</t>
        </is>
      </c>
      <c r="C76" s="112" t="n"/>
      <c r="D76" s="112" t="n">
        <v>1000</v>
      </c>
      <c r="E76" s="572">
        <f>+E75+C76-D76</f>
        <v/>
      </c>
      <c r="F76" s="562" t="inlineStr">
        <is>
          <t>已发</t>
        </is>
      </c>
      <c r="H76" s="564" t="n"/>
      <c r="I76" s="565" t="n"/>
      <c r="J76" s="565" t="inlineStr">
        <is>
          <t>G铁建82C</t>
        </is>
      </c>
      <c r="K76" s="565" t="inlineStr">
        <is>
          <t>266500.SH</t>
        </is>
      </c>
      <c r="L76" s="464" t="n">
        <v>0.08500000000000001</v>
      </c>
      <c r="M76" s="348" t="n">
        <v>115</v>
      </c>
      <c r="N76" s="0" t="n">
        <v>101.571</v>
      </c>
      <c r="O76" s="0" t="n">
        <v>101.571</v>
      </c>
      <c r="P76" s="564">
        <f>M76*O76/100</f>
        <v/>
      </c>
      <c r="Q76" s="117" t="n">
        <v>46132</v>
      </c>
      <c r="R76" s="150" t="n">
        <v>0.055</v>
      </c>
      <c r="S76" s="0" t="n">
        <v>101.4792</v>
      </c>
      <c r="T76" s="117" t="n">
        <v>46127</v>
      </c>
      <c r="V76" s="0" t="inlineStr">
        <is>
          <t>NR</t>
        </is>
      </c>
      <c r="W76" s="1" t="n">
        <v>46080</v>
      </c>
      <c r="X76" s="586" t="n">
        <v>0</v>
      </c>
      <c r="Y76" s="1" t="n">
        <v>45923</v>
      </c>
      <c r="AA76" s="1" t="n">
        <v>46653</v>
      </c>
      <c r="AB76" s="0" t="n">
        <v>100</v>
      </c>
    </row>
    <row r="77">
      <c r="A77" s="156" t="n"/>
      <c r="B77" s="112" t="n"/>
      <c r="C77" s="578" t="n"/>
      <c r="D77" s="455" t="n"/>
      <c r="E77" s="572">
        <f>+E76+C77-D77</f>
        <v/>
      </c>
      <c r="H77" s="564" t="n"/>
      <c r="I77" s="565" t="n"/>
      <c r="J77" s="565" t="inlineStr">
        <is>
          <t>远东普惠</t>
        </is>
      </c>
      <c r="P77" s="0" t="n">
        <v>2000</v>
      </c>
      <c r="Q77" s="184" t="inlineStr">
        <is>
          <t>待定</t>
        </is>
      </c>
    </row>
    <row r="78">
      <c r="A78" s="156" t="n">
        <v>46134</v>
      </c>
      <c r="B78" s="112" t="inlineStr">
        <is>
          <t>回款</t>
        </is>
      </c>
      <c r="C78" s="112" t="n">
        <v>402</v>
      </c>
      <c r="D78" s="455" t="n"/>
      <c r="E78" s="572">
        <f>+E77+C78-D78</f>
        <v/>
      </c>
      <c r="H78" s="564" t="n"/>
      <c r="I78" s="565" t="n"/>
      <c r="J78" s="565" t="inlineStr">
        <is>
          <t>蔚能ABS次A级</t>
        </is>
      </c>
      <c r="P78" s="0" t="n">
        <v>2000</v>
      </c>
      <c r="Q78" s="184" t="inlineStr">
        <is>
          <t>待定</t>
        </is>
      </c>
    </row>
    <row r="79">
      <c r="A79" s="156" t="n">
        <v>46134</v>
      </c>
      <c r="B79" s="112" t="inlineStr">
        <is>
          <t>工鑫两期</t>
        </is>
      </c>
      <c r="C79" s="112" t="n"/>
      <c r="D79" s="112">
        <f>915*105.163%+752*105.692%</f>
        <v/>
      </c>
      <c r="E79" s="572">
        <f>+E78+C79-D79</f>
        <v/>
      </c>
      <c r="F79" s="562" t="inlineStr">
        <is>
          <t>4/22，工鑫37次，265580.SH，915w，净价105.158，元康23号 刘靖涛qt3003993899 to 粤开证券 许逸潇2881647849
4/22，工鑫37次，265580.SH，915w，净价105.163，粤开证券 许逸潇2881647849 to 苏信 徐健 qt455768073
4/22，工鑫38次，265651.SH，752w，净价105.687，元康23号 刘靖涛qt3003993899 to 粤开证券 许逸潇2881647849
4/22，工鑫38次，265651.SH，752w，净价105.692，粤开证券 许逸潇2881647849 to 苏信 徐健 qt455768073</t>
        </is>
      </c>
      <c r="H79" s="564" t="n"/>
      <c r="I79" s="565" t="n"/>
      <c r="J79" s="565" t="inlineStr">
        <is>
          <t>蔚能ABS优B</t>
        </is>
      </c>
      <c r="P79" s="0" t="n">
        <v>8000</v>
      </c>
      <c r="Q79" s="184" t="inlineStr">
        <is>
          <t>待定</t>
        </is>
      </c>
    </row>
    <row r="80">
      <c r="A80" s="156" t="n">
        <v>46134</v>
      </c>
      <c r="B80" s="112" t="inlineStr">
        <is>
          <t>睿铭3次</t>
        </is>
      </c>
      <c r="C80" s="112" t="n"/>
      <c r="D80" s="112">
        <f>80*105.789%</f>
        <v/>
      </c>
      <c r="E80" s="572">
        <f>+E79+C80-D80</f>
        <v/>
      </c>
      <c r="F80" s="562" t="inlineStr">
        <is>
          <t>4/22，睿铭3次，264171.SH，80w，净价105.789，粤开证券 许逸潇2881647849 to 苏信 徐健 qt455768073</t>
        </is>
      </c>
      <c r="I80" s="565" t="n"/>
      <c r="J80" s="565" t="inlineStr">
        <is>
          <t>晨惠2期</t>
        </is>
      </c>
      <c r="P80" s="0" t="n">
        <v>1000</v>
      </c>
      <c r="Q80" s="184" t="inlineStr">
        <is>
          <t>待定</t>
        </is>
      </c>
    </row>
    <row r="81">
      <c r="A81" s="156" t="n"/>
      <c r="B81" s="112" t="n"/>
      <c r="C81" s="578" t="n"/>
      <c r="D81" s="455" t="n"/>
      <c r="E81" s="572">
        <f>+E80+C81-D81</f>
        <v/>
      </c>
      <c r="J81" s="565" t="inlineStr">
        <is>
          <t>启悦11次</t>
        </is>
      </c>
      <c r="P81" s="0" t="n">
        <v>580</v>
      </c>
      <c r="Q81" s="184" t="inlineStr">
        <is>
          <t>待定</t>
        </is>
      </c>
    </row>
    <row r="82">
      <c r="A82" s="156" t="n"/>
      <c r="B82" s="112" t="n"/>
      <c r="C82" s="578" t="n"/>
      <c r="D82" s="455" t="n"/>
      <c r="E82" s="572">
        <f>+E81+C82-D82</f>
        <v/>
      </c>
      <c r="J82" s="565" t="inlineStr">
        <is>
          <t>铁建085C</t>
        </is>
      </c>
      <c r="P82" s="0" t="n">
        <v>1500</v>
      </c>
      <c r="Q82" s="184" t="inlineStr">
        <is>
          <t>待定</t>
        </is>
      </c>
    </row>
    <row r="83">
      <c r="A83" s="156" t="n">
        <v>46139</v>
      </c>
      <c r="B83" s="112" t="inlineStr">
        <is>
          <t>熠安02A3</t>
        </is>
      </c>
      <c r="C83" s="112" t="n"/>
      <c r="D83" s="112">
        <f>2300*52.5268%</f>
        <v/>
      </c>
      <c r="E83" s="572">
        <f>+E82+C83-D83</f>
        <v/>
      </c>
      <c r="F83" s="617" t="inlineStr">
        <is>
          <t>熠安02A3[144651.SZ]，2300w，52.5268，4月27日，粤开证券 许逸潇2881647849 to 苏信2502 徐健 qt455768073</t>
        </is>
      </c>
      <c r="H83" s="1" t="n"/>
      <c r="J83" s="565" t="inlineStr">
        <is>
          <t>熠安02A3</t>
        </is>
      </c>
      <c r="P83" s="0" t="n">
        <v>2700</v>
      </c>
      <c r="Q83" s="184" t="inlineStr">
        <is>
          <t>待定</t>
        </is>
      </c>
    </row>
    <row r="84">
      <c r="A84" s="252" t="n">
        <v>46139</v>
      </c>
      <c r="B84" s="253" t="inlineStr">
        <is>
          <t>5美意3次+5美意1次</t>
        </is>
      </c>
      <c r="C84" s="253" t="n">
        <v>2855</v>
      </c>
      <c r="D84" s="253" t="n"/>
      <c r="E84" s="580">
        <f>+E83+C84-D84</f>
        <v/>
      </c>
      <c r="H84" s="1" t="n"/>
    </row>
    <row r="85">
      <c r="A85" s="252" t="n">
        <v>46140</v>
      </c>
      <c r="B85" s="253" t="inlineStr">
        <is>
          <t>23领航3C</t>
        </is>
      </c>
      <c r="C85" s="253" t="n">
        <v>293</v>
      </c>
      <c r="D85" s="253" t="n"/>
      <c r="E85" s="580">
        <f>+E84+C85-D85</f>
        <v/>
      </c>
      <c r="H85" s="1" t="n"/>
      <c r="P85" s="597">
        <f>SUM(P69:P84)</f>
        <v/>
      </c>
    </row>
    <row r="86">
      <c r="A86" s="252" t="n">
        <v>46140</v>
      </c>
      <c r="B86" s="253" t="inlineStr">
        <is>
          <t>23领航4C</t>
        </is>
      </c>
      <c r="C86" s="253" t="n">
        <v>813.7</v>
      </c>
      <c r="D86" s="253" t="n"/>
      <c r="E86" s="580">
        <f>+E85+C86-D86</f>
        <v/>
      </c>
      <c r="H86" s="1" t="n"/>
      <c r="I86" s="0" t="n"/>
    </row>
    <row r="87">
      <c r="A87" s="156" t="n">
        <v>46141</v>
      </c>
      <c r="B87" s="112" t="inlineStr">
        <is>
          <t>蔚能ABS次A级</t>
        </is>
      </c>
      <c r="C87" s="578" t="n"/>
      <c r="D87" s="455" t="n">
        <v>2000</v>
      </c>
      <c r="E87" s="572">
        <f>+E86+C87-D87</f>
        <v/>
      </c>
      <c r="F87" s="562" t="inlineStr">
        <is>
          <t>已发</t>
        </is>
      </c>
      <c r="H87" s="1" t="n"/>
    </row>
    <row r="88">
      <c r="A88" s="156" t="n">
        <v>46141</v>
      </c>
      <c r="B88" s="112" t="inlineStr">
        <is>
          <t>蔚能优B</t>
        </is>
      </c>
      <c r="C88" s="578" t="n"/>
      <c r="D88" s="455" t="n">
        <v>6900</v>
      </c>
      <c r="E88" s="572">
        <f>+E87+C88-D88</f>
        <v/>
      </c>
      <c r="F88" s="562" t="inlineStr">
        <is>
          <t>已发</t>
        </is>
      </c>
      <c r="H88" s="1" t="n"/>
      <c r="I88" s="565" t="n"/>
    </row>
    <row r="89">
      <c r="A89" s="156" t="n"/>
      <c r="B89" s="112" t="n"/>
      <c r="C89" s="572" t="n"/>
      <c r="D89" s="112" t="n"/>
      <c r="E89" s="572">
        <f>+E88+C89-D89</f>
        <v/>
      </c>
      <c r="H89" s="577" t="n"/>
    </row>
    <row r="90">
      <c r="A90" s="156" t="n">
        <v>46141</v>
      </c>
      <c r="B90" s="630" t="inlineStr">
        <is>
          <t>铁建081C</t>
        </is>
      </c>
      <c r="C90" s="572" t="n"/>
      <c r="D90" s="488">
        <f>1000*101.379%</f>
        <v/>
      </c>
      <c r="E90" s="572">
        <f>+E89+C90-D90</f>
        <v/>
      </c>
      <c r="F90" s="562" t="inlineStr">
        <is>
          <t>1、铁建081C[265587.SH], 1000w, 101.379，4月29日，方田维纳3号 Z13506 to 苏信 徐健 qt455768073，约定号：668</t>
        </is>
      </c>
      <c r="H90" s="1" t="n"/>
      <c r="K90" s="565" t="inlineStr">
        <is>
          <t>优先级5000</t>
        </is>
      </c>
      <c r="L90" s="565" t="inlineStr">
        <is>
          <t>新混合1e</t>
        </is>
      </c>
    </row>
    <row r="91">
      <c r="A91" s="156" t="n">
        <v>46141</v>
      </c>
      <c r="B91" s="253" t="inlineStr">
        <is>
          <t>铁建051C</t>
        </is>
      </c>
      <c r="C91" s="112" t="n"/>
      <c r="D91" s="253">
        <f>230*112.95%</f>
        <v/>
      </c>
      <c r="E91" s="572">
        <f>+E90+C91-D91</f>
        <v/>
      </c>
      <c r="F91" s="562" t="inlineStr">
        <is>
          <t>2、铁建051C[199768.SH]，230w，112.95，4月29日，方田维纳3号 Z13506 to 苏信 徐健 qt455768073 ，约定号：669</t>
        </is>
      </c>
      <c r="H91" s="1" t="n"/>
      <c r="R91" s="563" t="n"/>
      <c r="S91" s="565" t="n"/>
      <c r="T91" s="564" t="n"/>
      <c r="V91" s="464" t="n"/>
      <c r="AB91" s="0" t="inlineStr">
        <is>
          <t>B</t>
        </is>
      </c>
      <c r="AC91" s="0" t="inlineStr">
        <is>
          <t>A+C</t>
        </is>
      </c>
    </row>
    <row r="92">
      <c r="A92" s="156" t="n"/>
      <c r="B92" s="112" t="n"/>
      <c r="C92" s="112" t="n"/>
      <c r="D92" s="112" t="n"/>
      <c r="E92" s="572">
        <f>+E91+C92-D92</f>
        <v/>
      </c>
      <c r="H92" s="1" t="n"/>
      <c r="R92" s="563" t="n"/>
      <c r="S92" s="565" t="n"/>
      <c r="T92" s="564" t="n"/>
      <c r="V92" s="464" t="n"/>
      <c r="AA92" s="0">
        <f>38900+142500+201600</f>
        <v/>
      </c>
      <c r="AB92" s="0">
        <f>142500/AA92</f>
        <v/>
      </c>
      <c r="AC92" s="0">
        <f>+(38900+201600)/AA92</f>
        <v/>
      </c>
    </row>
    <row r="93">
      <c r="A93" s="156" t="n">
        <v>46141</v>
      </c>
      <c r="B93" s="112" t="inlineStr">
        <is>
          <t>启恒2期次级</t>
        </is>
      </c>
      <c r="C93" s="112" t="n"/>
      <c r="D93" s="112" t="n">
        <v>1000</v>
      </c>
      <c r="E93" s="572">
        <f>+E92+C93-D93</f>
        <v/>
      </c>
      <c r="F93" s="562" t="inlineStr">
        <is>
          <t>启恒2次，500691.SZ，苏信2502，1000w，5.88%，4月29日缴款、4月30日设立</t>
        </is>
      </c>
      <c r="H93" s="1" t="n"/>
      <c r="L93" s="460" t="n"/>
      <c r="M93" s="464" t="n"/>
      <c r="R93" s="563" t="n"/>
      <c r="S93" s="565" t="n"/>
      <c r="T93" s="564" t="n"/>
      <c r="V93" s="464" t="n"/>
    </row>
    <row r="94">
      <c r="A94" s="156" t="n"/>
      <c r="B94" s="112" t="n"/>
      <c r="C94" s="112" t="n"/>
      <c r="D94" s="112" t="n"/>
      <c r="E94" s="572">
        <f>+E93+C94-D94</f>
        <v/>
      </c>
      <c r="H94" s="1" t="n"/>
      <c r="L94" s="460" t="n"/>
      <c r="M94" s="464" t="n"/>
      <c r="R94" s="565" t="inlineStr">
        <is>
          <t>265651.SH</t>
        </is>
      </c>
      <c r="S94" s="348" t="n">
        <v>752</v>
      </c>
      <c r="T94" s="564" t="n"/>
      <c r="W94" s="464" t="inlineStr">
        <is>
          <t>265580.SH</t>
        </is>
      </c>
      <c r="X94" s="0" t="n">
        <v>915</v>
      </c>
    </row>
    <row r="95">
      <c r="A95" s="156" t="n"/>
      <c r="B95" s="112" t="n"/>
      <c r="C95" s="112" t="n"/>
      <c r="D95" s="112" t="n"/>
      <c r="E95" s="572">
        <f>+E94+C95-D95</f>
        <v/>
      </c>
      <c r="H95" s="1" t="n"/>
      <c r="R95" s="563" t="inlineStr">
        <is>
          <t>工鑫38次</t>
        </is>
      </c>
      <c r="S95" s="215">
        <f>XIRR(S96:S100,R96:R100)</f>
        <v/>
      </c>
      <c r="T95" s="215">
        <f>XIRR(T97:T100,R97:R100)</f>
        <v/>
      </c>
      <c r="W95" s="464" t="inlineStr">
        <is>
          <t>工鑫37次</t>
        </is>
      </c>
      <c r="X95" s="215">
        <f>XIRR(X96:X104,W96:W104)</f>
        <v/>
      </c>
      <c r="Y95" s="215">
        <f>XIRR(Y98:Y104,W98:W104)</f>
        <v/>
      </c>
    </row>
    <row r="96">
      <c r="A96" s="156" t="n"/>
      <c r="B96" s="112" t="n"/>
      <c r="C96" s="112" t="n"/>
      <c r="D96" s="112" t="n"/>
      <c r="E96" s="572">
        <f>+E95+C96-D96</f>
        <v/>
      </c>
      <c r="H96" s="1" t="n"/>
      <c r="I96" s="631" t="n"/>
      <c r="R96" s="266" t="n">
        <v>45834</v>
      </c>
      <c r="S96" s="564" t="n">
        <v>-100</v>
      </c>
      <c r="T96" s="564" t="n"/>
      <c r="W96" s="1" t="n">
        <v>45820</v>
      </c>
      <c r="X96" s="0" t="n">
        <v>-100</v>
      </c>
    </row>
    <row r="97">
      <c r="A97" s="156" t="n">
        <v>46157</v>
      </c>
      <c r="B97" s="112" t="inlineStr">
        <is>
          <t>平安普惠回款</t>
        </is>
      </c>
      <c r="C97" s="112" t="n">
        <v>1328</v>
      </c>
      <c r="D97" s="112" t="n"/>
      <c r="E97" s="572">
        <f>+E96+C97-D97</f>
        <v/>
      </c>
      <c r="H97" s="1" t="n"/>
      <c r="R97" s="266" t="n">
        <v>46134</v>
      </c>
      <c r="S97" s="565" t="n"/>
      <c r="T97" s="587" t="n">
        <v>-105.69</v>
      </c>
      <c r="V97" s="184" t="inlineStr">
        <is>
          <t>特别</t>
        </is>
      </c>
      <c r="W97" s="1" t="n">
        <v>46093</v>
      </c>
      <c r="X97" s="564">
        <f>3*(W97-W96)/365*AA97</f>
        <v/>
      </c>
      <c r="Z97" s="0">
        <f>3*(W97-W96)/365*AA97</f>
        <v/>
      </c>
      <c r="AA97" s="150">
        <f>+$AB$92</f>
        <v/>
      </c>
    </row>
    <row r="98">
      <c r="E98" s="563">
        <f>+E97+C98-D98</f>
        <v/>
      </c>
      <c r="H98" s="1" t="n"/>
      <c r="R98" s="266" t="n">
        <v>46199</v>
      </c>
      <c r="S98" s="564">
        <f>-$S$96*3%*(R98-R96)/365</f>
        <v/>
      </c>
      <c r="T98" s="564">
        <f>+S98</f>
        <v/>
      </c>
      <c r="V98" s="184" t="n"/>
      <c r="W98" s="266" t="n">
        <v>46134</v>
      </c>
      <c r="X98" s="564" t="n"/>
      <c r="Y98" s="169" t="n">
        <v>-105.16</v>
      </c>
    </row>
    <row r="99">
      <c r="E99" s="563">
        <f>+E98+C99-D99</f>
        <v/>
      </c>
      <c r="H99" s="117" t="n"/>
      <c r="R99" s="266" t="n">
        <v>46566</v>
      </c>
      <c r="S99" s="564">
        <f>-$S$96*3%*(R99-R98)/365</f>
        <v/>
      </c>
      <c r="T99" s="564">
        <f>+S99</f>
        <v/>
      </c>
      <c r="V99" s="184" t="inlineStr">
        <is>
          <t>一般</t>
        </is>
      </c>
      <c r="W99" s="1" t="n">
        <v>46185</v>
      </c>
      <c r="X99" s="564">
        <f>3*(W99-W96)/365*AA99</f>
        <v/>
      </c>
      <c r="Y99" s="573">
        <f>+X99</f>
        <v/>
      </c>
      <c r="AA99" s="464">
        <f>+$AC$92</f>
        <v/>
      </c>
    </row>
    <row r="100">
      <c r="E100" s="563">
        <f>+E99+C100-D100</f>
        <v/>
      </c>
      <c r="R100" s="266" t="n">
        <v>46930</v>
      </c>
      <c r="S100" s="564">
        <f>-$S$96*6.5%*(R100-R96)/365-S96-S98-S99</f>
        <v/>
      </c>
      <c r="T100" s="564">
        <f>+S100</f>
        <v/>
      </c>
      <c r="U100" s="573">
        <f>-T97*(1+6%*(R100-R97)/365)-T98-T99</f>
        <v/>
      </c>
      <c r="V100" s="184" t="inlineStr">
        <is>
          <t>特别</t>
        </is>
      </c>
      <c r="W100" s="1" t="n">
        <v>46458</v>
      </c>
      <c r="X100" s="564">
        <f>3*(W100-W97)/365*AA100</f>
        <v/>
      </c>
      <c r="Y100" s="573">
        <f>+X100</f>
        <v/>
      </c>
      <c r="AA100" s="150">
        <f>+$AB$92</f>
        <v/>
      </c>
    </row>
    <row r="101">
      <c r="E101" s="563">
        <f>+E100+C101-D101</f>
        <v/>
      </c>
      <c r="I101" s="631" t="n"/>
      <c r="R101" s="565" t="n"/>
      <c r="S101" s="565" t="n"/>
      <c r="T101" s="564" t="n"/>
      <c r="V101" s="184" t="inlineStr">
        <is>
          <t>一般</t>
        </is>
      </c>
      <c r="W101" s="1" t="n">
        <v>46549</v>
      </c>
      <c r="X101" s="564">
        <f>3*(W101-W99)/365*AA101</f>
        <v/>
      </c>
      <c r="Y101" s="573">
        <f>+X101</f>
        <v/>
      </c>
      <c r="AA101" s="464">
        <f>+$AC$92</f>
        <v/>
      </c>
    </row>
    <row r="102">
      <c r="B102" s="592" t="n"/>
      <c r="C102" s="564" t="n"/>
      <c r="D102" s="419" t="n"/>
      <c r="E102" s="563">
        <f>+E101+C102-D102</f>
        <v/>
      </c>
      <c r="R102" s="565" t="n"/>
      <c r="S102" s="565" t="n"/>
      <c r="T102" s="564" t="n"/>
      <c r="V102" s="184" t="inlineStr">
        <is>
          <t>一般</t>
        </is>
      </c>
      <c r="W102" s="1" t="n">
        <v>46731</v>
      </c>
      <c r="X102" s="564">
        <f>3*(W102-W101)/365*AA102</f>
        <v/>
      </c>
      <c r="Y102" s="573">
        <f>+X102</f>
        <v/>
      </c>
      <c r="AA102" s="464">
        <f>+$AC$92</f>
        <v/>
      </c>
    </row>
    <row r="103">
      <c r="E103" s="563">
        <f>+E102+C103-D103</f>
        <v/>
      </c>
      <c r="R103" s="565" t="n"/>
      <c r="S103" s="565" t="n"/>
      <c r="T103" s="564" t="n"/>
      <c r="V103" s="184" t="inlineStr">
        <is>
          <t>特别</t>
        </is>
      </c>
      <c r="W103" s="1" t="n">
        <v>46822</v>
      </c>
      <c r="X103" s="564">
        <f>3*(W103-W100)/365*AA103</f>
        <v/>
      </c>
      <c r="Y103" s="573">
        <f>+X103</f>
        <v/>
      </c>
      <c r="AA103" s="150">
        <f>+$AB$92</f>
        <v/>
      </c>
    </row>
    <row r="104">
      <c r="A104" s="4" t="n">
        <v>46164</v>
      </c>
      <c r="B104" s="0" t="inlineStr">
        <is>
          <t>预期底层分配</t>
        </is>
      </c>
      <c r="C104" s="0">
        <f>5572-1328</f>
        <v/>
      </c>
      <c r="E104" s="563">
        <f>+E103+C104-D104</f>
        <v/>
      </c>
      <c r="R104" s="565" t="n"/>
      <c r="S104" s="565" t="n"/>
      <c r="T104" s="564" t="n"/>
      <c r="V104" s="184" t="inlineStr">
        <is>
          <t>一般</t>
        </is>
      </c>
      <c r="W104" s="1" t="n">
        <v>46916</v>
      </c>
      <c r="X104" s="564">
        <f>-X96*(1+6.5%*(W104-W96)/365)-SUM(X97:X103)</f>
        <v/>
      </c>
      <c r="Y104" s="573">
        <f>+X104</f>
        <v/>
      </c>
      <c r="AA104" s="464">
        <f>+$AC$92</f>
        <v/>
      </c>
    </row>
    <row r="105">
      <c r="A105" s="4" t="n">
        <v>46164</v>
      </c>
      <c r="B105" s="0" t="inlineStr">
        <is>
          <t>赎回</t>
        </is>
      </c>
      <c r="D105" s="0">
        <f>4240*1.027</f>
        <v/>
      </c>
      <c r="E105" s="563">
        <f>+E104+C105-D105</f>
        <v/>
      </c>
      <c r="R105" s="565" t="n"/>
      <c r="S105" s="565" t="n"/>
      <c r="T105" s="564" t="n"/>
    </row>
    <row r="106">
      <c r="E106" s="563">
        <f>+E105+C106-D106</f>
        <v/>
      </c>
      <c r="R106" s="565" t="n"/>
      <c r="S106" s="565" t="n"/>
      <c r="T106" s="564" t="n"/>
    </row>
    <row r="107">
      <c r="E107" s="563">
        <f>+E106+C107-D107</f>
        <v/>
      </c>
      <c r="R107" s="565" t="n"/>
      <c r="S107" s="565" t="n"/>
      <c r="T107" s="564" t="n"/>
      <c r="Y107" s="573">
        <f>-Y98*(1+6%*(W104-W98)/365)-SUM(Y99:Y103)</f>
        <v/>
      </c>
    </row>
    <row r="108">
      <c r="A108" s="4" t="n">
        <v>46168</v>
      </c>
      <c r="B108" s="0" t="inlineStr">
        <is>
          <t>5美意1次兑付</t>
        </is>
      </c>
      <c r="C108" s="0" t="n">
        <v>1450</v>
      </c>
      <c r="E108" s="563">
        <f>+E107+C108-D108</f>
        <v/>
      </c>
    </row>
    <row r="109">
      <c r="B109" s="565" t="inlineStr">
        <is>
          <t>G铁建82C（266500.SH）</t>
        </is>
      </c>
      <c r="C109" s="348" t="n"/>
      <c r="D109" s="348" t="n">
        <v>800</v>
      </c>
      <c r="E109" s="563">
        <f>+E108+C109-D109</f>
        <v/>
      </c>
      <c r="I109" s="0" t="inlineStr">
        <is>
          <t>等等</t>
        </is>
      </c>
      <c r="J109" s="565" t="inlineStr">
        <is>
          <t>可随时交易</t>
        </is>
      </c>
      <c r="K109" s="565" t="inlineStr">
        <is>
          <t>G铁建82C（266500.SH）</t>
        </is>
      </c>
      <c r="L109" s="348" t="n">
        <v>800</v>
      </c>
      <c r="M109" s="150" t="n">
        <v>0.065</v>
      </c>
      <c r="N109" s="564" t="inlineStr">
        <is>
          <t>平价，帮代持，成本5.5%</t>
        </is>
      </c>
    </row>
    <row r="110">
      <c r="B110" s="565" t="inlineStr">
        <is>
          <t>蔚能ABS2期优A4</t>
        </is>
      </c>
      <c r="C110" s="348" t="n"/>
      <c r="D110" s="348" t="n">
        <v>2000</v>
      </c>
      <c r="E110" s="563">
        <f>+E109+C110-D110</f>
        <v/>
      </c>
      <c r="J110" s="565" t="inlineStr">
        <is>
          <t>5月底6月初</t>
        </is>
      </c>
      <c r="K110" s="565" t="inlineStr">
        <is>
          <t>蔚能ABS2期优A4</t>
        </is>
      </c>
      <c r="L110" s="348" t="n">
        <v>2000</v>
      </c>
      <c r="M110" s="150" t="n">
        <v>0.045</v>
      </c>
    </row>
    <row r="111">
      <c r="E111" s="563">
        <f>+E110+C111-D111</f>
        <v/>
      </c>
    </row>
    <row r="112">
      <c r="B112" s="0" t="inlineStr">
        <is>
          <t>优先级搭售</t>
        </is>
      </c>
      <c r="D112" s="0" t="n">
        <v>4000</v>
      </c>
      <c r="E112" s="563">
        <f>+E111+C112-D112</f>
        <v/>
      </c>
      <c r="F112" s="0" t="inlineStr">
        <is>
          <t>流动性诉求</t>
        </is>
      </c>
      <c r="G112" s="0">
        <f>+(74695-4355)*10%</f>
        <v/>
      </c>
    </row>
    <row r="113">
      <c r="E113" s="563">
        <f>+E112+C113-D113</f>
        <v/>
      </c>
    </row>
    <row r="114">
      <c r="E114" s="563">
        <f>+E113+C114-D114</f>
        <v/>
      </c>
    </row>
    <row r="115">
      <c r="E115" s="563">
        <f>+E114+C115-D115</f>
        <v/>
      </c>
    </row>
    <row r="116">
      <c r="E116" s="563">
        <f>+E115+C116-D116</f>
        <v/>
      </c>
      <c r="M116" s="563" t="n"/>
      <c r="N116" s="150" t="n"/>
    </row>
    <row r="117">
      <c r="E117" s="563">
        <f>+E116+C117-D117</f>
        <v/>
      </c>
      <c r="K117" s="348" t="n"/>
      <c r="M117" s="563" t="n"/>
      <c r="N117" s="150" t="n"/>
    </row>
    <row r="118">
      <c r="E118" s="563">
        <f>+E117+C118-D118</f>
        <v/>
      </c>
      <c r="K118" s="348" t="n"/>
      <c r="M118" s="563" t="n"/>
      <c r="N118" s="150" t="n"/>
    </row>
    <row r="119">
      <c r="K119" s="348" t="n"/>
      <c r="M119" s="563" t="n"/>
      <c r="N119" s="150" t="n"/>
    </row>
    <row r="120">
      <c r="K120" s="348" t="n"/>
      <c r="M120" s="563" t="n"/>
      <c r="N120" s="146" t="n"/>
    </row>
    <row r="121">
      <c r="K121" s="348" t="n"/>
      <c r="M121" s="563" t="n"/>
      <c r="N121" s="167" t="n"/>
    </row>
    <row r="122">
      <c r="M122" s="563" t="n"/>
      <c r="N122" s="464" t="n"/>
    </row>
    <row r="124">
      <c r="N124" s="150" t="n"/>
    </row>
    <row r="125">
      <c r="N125" s="150" t="n"/>
    </row>
    <row r="126">
      <c r="N126" s="150" t="n"/>
    </row>
    <row r="127">
      <c r="N127" s="150" t="n"/>
    </row>
  </sheetData>
  <conditionalFormatting sqref="B15">
    <cfRule type="duplicateValues" priority="99" dxfId="0"/>
    <cfRule type="duplicateValues" priority="100" dxfId="20"/>
    <cfRule type="duplicateValues" priority="101" dxfId="0"/>
    <cfRule type="duplicateValues" priority="102" dxfId="0"/>
  </conditionalFormatting>
  <conditionalFormatting sqref="B51">
    <cfRule type="duplicateValues" priority="73" dxfId="0"/>
    <cfRule type="duplicateValues" priority="74" dxfId="0"/>
    <cfRule type="duplicateValues" priority="75" dxfId="20"/>
  </conditionalFormatting>
  <conditionalFormatting sqref="B52">
    <cfRule type="duplicateValues" priority="76" dxfId="0"/>
    <cfRule type="duplicateValues" priority="77" dxfId="0"/>
    <cfRule type="duplicateValues" priority="78" dxfId="0"/>
    <cfRule type="duplicateValues" priority="79" dxfId="20"/>
  </conditionalFormatting>
  <conditionalFormatting sqref="B81">
    <cfRule type="duplicateValues" priority="29" dxfId="0"/>
    <cfRule type="duplicateValues" priority="30" dxfId="0"/>
    <cfRule type="duplicateValues" priority="31" dxfId="0"/>
    <cfRule type="duplicateValues" priority="32" dxfId="0"/>
    <cfRule type="duplicateValues" priority="33" dxfId="0"/>
    <cfRule type="duplicateValues" priority="34" dxfId="20"/>
  </conditionalFormatting>
  <conditionalFormatting sqref="B82">
    <cfRule type="duplicateValues" priority="23" dxfId="0"/>
    <cfRule type="duplicateValues" priority="24" dxfId="0"/>
    <cfRule type="duplicateValues" priority="25" dxfId="0"/>
    <cfRule type="duplicateValues" priority="26" dxfId="20"/>
    <cfRule type="duplicateValues" priority="27" dxfId="0"/>
    <cfRule type="duplicateValues" priority="28" dxfId="0"/>
  </conditionalFormatting>
  <conditionalFormatting sqref="B87">
    <cfRule type="duplicateValues" priority="8" dxfId="0"/>
    <cfRule type="duplicateValues" priority="9" dxfId="0"/>
    <cfRule type="duplicateValues" priority="10" dxfId="0"/>
    <cfRule type="duplicateValues" priority="11" dxfId="0"/>
    <cfRule type="duplicateValues" priority="12" dxfId="0"/>
    <cfRule type="duplicateValues" priority="13" dxfId="20"/>
  </conditionalFormatting>
  <conditionalFormatting sqref="B88">
    <cfRule type="duplicateValues" priority="2" dxfId="0"/>
    <cfRule type="duplicateValues" priority="3" dxfId="0"/>
    <cfRule type="duplicateValues" priority="4" dxfId="0"/>
    <cfRule type="duplicateValues" priority="5" dxfId="20"/>
    <cfRule type="duplicateValues" priority="6" dxfId="0"/>
    <cfRule type="duplicateValues" priority="7" dxfId="0"/>
  </conditionalFormatting>
  <conditionalFormatting sqref="E1:E1048576">
    <cfRule type="cellIs" priority="1" operator="lessThan" dxfId="0">
      <formula>0</formula>
    </cfRule>
  </conditionalFormatting>
  <conditionalFormatting sqref="G51">
    <cfRule type="duplicateValues" priority="108" dxfId="0"/>
    <cfRule type="duplicateValues" priority="109" dxfId="0"/>
    <cfRule type="duplicateValues" priority="110" dxfId="20"/>
  </conditionalFormatting>
  <conditionalFormatting sqref="G52">
    <cfRule type="duplicateValues" priority="91" dxfId="0"/>
    <cfRule type="duplicateValues" priority="92" dxfId="0"/>
    <cfRule type="duplicateValues" priority="93" dxfId="0"/>
    <cfRule type="duplicateValues" priority="94" dxfId="20"/>
  </conditionalFormatting>
  <conditionalFormatting sqref="J9">
    <cfRule type="duplicateValues" priority="103" dxfId="0"/>
    <cfRule type="duplicateValues" priority="104" dxfId="20"/>
    <cfRule type="duplicateValues" priority="105" dxfId="0"/>
    <cfRule type="duplicateValues" priority="106" dxfId="0"/>
  </conditionalFormatting>
  <pageMargins left="0.7" right="0.7" top="0.75" bottom="0.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T26"/>
  <sheetViews>
    <sheetView tabSelected="1" workbookViewId="0">
      <pane ySplit="2" topLeftCell="A3" activePane="bottomLeft" state="frozen"/>
      <selection pane="bottomLeft" activeCell="M35" sqref="M35"/>
    </sheetView>
  </sheetViews>
  <sheetFormatPr baseColWidth="8" defaultRowHeight="16.5"/>
  <cols>
    <col width="10" bestFit="1" customWidth="1" style="4" min="1" max="1"/>
    <col width="9.5" customWidth="1" style="326" min="2" max="2"/>
    <col width="7.75" customWidth="1" style="326" min="3" max="3"/>
    <col width="9.25" customWidth="1" style="326" min="4" max="4"/>
    <col width="8.75" bestFit="1" customWidth="1" style="563" min="5" max="5"/>
    <col width="11.625" customWidth="1" style="326" min="10" max="10"/>
    <col width="12.875" customWidth="1" style="326" min="11" max="11"/>
    <col width="10.875" customWidth="1" style="326" min="17" max="17"/>
    <col width="12.125" customWidth="1" style="326" min="20" max="20"/>
  </cols>
  <sheetData>
    <row r="1" ht="14.1" customHeight="1" s="326">
      <c r="A1" s="125"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46156</v>
      </c>
      <c r="B3" s="112" t="inlineStr">
        <is>
          <t>申购</t>
        </is>
      </c>
      <c r="C3" s="112" t="n">
        <v>19982</v>
      </c>
      <c r="D3" s="112" t="n"/>
      <c r="E3" s="572" t="n">
        <v>19982</v>
      </c>
    </row>
    <row r="4">
      <c r="A4" s="211" t="n">
        <v>46157</v>
      </c>
      <c r="B4" s="112" t="inlineStr">
        <is>
          <t>GC港华智慧能源01</t>
        </is>
      </c>
      <c r="C4" s="112" t="n"/>
      <c r="D4" s="112">
        <f>2000*101.2214%</f>
        <v/>
      </c>
      <c r="E4" s="572">
        <f>E3+C4-D4</f>
        <v/>
      </c>
      <c r="F4" s="562" t="inlineStr">
        <is>
          <t>5/15+0，GC港华智慧能源01，[121627.SZ]，2000w，全价101.2214，渣打证券  to 芜湖元康（元康询价，实际交易账户为苏信2603）</t>
        </is>
      </c>
      <c r="J4" s="565" t="inlineStr">
        <is>
          <t>日期</t>
        </is>
      </c>
      <c r="K4" s="565" t="inlineStr">
        <is>
          <t>项目</t>
        </is>
      </c>
      <c r="L4" s="565" t="inlineStr">
        <is>
          <t>规模</t>
        </is>
      </c>
      <c r="M4" s="564" t="inlineStr">
        <is>
          <t>估值收益率</t>
        </is>
      </c>
    </row>
    <row r="5">
      <c r="A5" s="211" t="n">
        <v>46157</v>
      </c>
      <c r="B5" s="618" t="inlineStr">
        <is>
          <t>铁建085C</t>
        </is>
      </c>
      <c r="C5" s="112" t="n"/>
      <c r="D5" s="112">
        <f>1950*100.556%</f>
        <v/>
      </c>
      <c r="E5" s="572">
        <f>E4+C5-D5</f>
        <v/>
      </c>
      <c r="F5" s="562" t="inlineStr">
        <is>
          <t>5/15，铁建085C，【267930.SH】，1950w，100.556，国泰海通 樊文娟 to 苏信2603 徐健 455768073</t>
        </is>
      </c>
      <c r="J5" s="565" t="inlineStr">
        <is>
          <t>5月底6月初</t>
        </is>
      </c>
      <c r="K5" s="565" t="inlineStr">
        <is>
          <t>蔚能ABS2期优A5</t>
        </is>
      </c>
      <c r="L5" s="348" t="n">
        <v>2000</v>
      </c>
      <c r="M5" s="150" t="n">
        <v>0.056</v>
      </c>
      <c r="Q5" s="0" t="inlineStr">
        <is>
          <t>G铁建82C</t>
        </is>
      </c>
      <c r="R5" s="464">
        <f>XIRR(R6:R15,Q6:Q15)</f>
        <v/>
      </c>
      <c r="S5" s="464">
        <f>XIRR(S8:S15,Q8:Q15)</f>
        <v/>
      </c>
      <c r="T5" s="4" t="inlineStr">
        <is>
          <t>2026/5/13估值</t>
        </is>
      </c>
    </row>
    <row r="6">
      <c r="A6" s="211" t="n">
        <v>46157</v>
      </c>
      <c r="B6" s="618" t="inlineStr">
        <is>
          <t>铁建053C</t>
        </is>
      </c>
      <c r="C6" s="112" t="n"/>
      <c r="D6" s="112">
        <f>3000*112.31%</f>
        <v/>
      </c>
      <c r="E6" s="572">
        <f>E5+C6-D6</f>
        <v/>
      </c>
      <c r="F6" s="562" t="inlineStr">
        <is>
          <t>铁建053C[199886.SH] ，3000w，112.31全价，山金金泉基金产品：雷宇qq331654633
to 苏信财富组合添利Z2603集合资金信托计划徐健qq455768073
199886.SH  铁建053C  山金金石1号出2537W【中信证券Z06308】  To  苏州信托
199886.SH  铁建053C  山金金石19号出275W【华泰证券Z07409】  To  苏州信托
199886.SH  铁建053C  山金金石20号出131W【中信证券Z06308】  To  苏州信托
199886.SH  铁建053C  山金金石13号出57W【中信证券Z06308】 To  苏州信托</t>
        </is>
      </c>
      <c r="J6" s="565" t="inlineStr">
        <is>
          <t>5月底6月初</t>
        </is>
      </c>
      <c r="K6" s="565" t="inlineStr">
        <is>
          <t>蔚能ABS次A</t>
        </is>
      </c>
      <c r="L6" s="348" t="n">
        <v>1000</v>
      </c>
      <c r="M6" s="150" t="n">
        <v>0.08</v>
      </c>
      <c r="Q6" s="1" t="n">
        <v>45923</v>
      </c>
      <c r="R6" s="0" t="n">
        <v>-100</v>
      </c>
      <c r="T6" s="0" t="n">
        <v>101.985</v>
      </c>
    </row>
    <row r="7">
      <c r="A7" s="1" t="n"/>
      <c r="E7" s="563">
        <f>E6+C7-D7</f>
        <v/>
      </c>
      <c r="J7" s="565" t="inlineStr">
        <is>
          <t>5-28缴款</t>
        </is>
      </c>
      <c r="K7" s="565" t="inlineStr">
        <is>
          <t>尚乘1期优先B</t>
        </is>
      </c>
      <c r="L7" s="348" t="n">
        <v>2000</v>
      </c>
      <c r="M7" s="150" t="n">
        <v>0.032</v>
      </c>
      <c r="Q7" s="1" t="n">
        <v>46080</v>
      </c>
      <c r="R7" s="0" t="n">
        <v>2.1506</v>
      </c>
      <c r="T7" s="565" t="inlineStr">
        <is>
          <t>票面价格</t>
        </is>
      </c>
    </row>
    <row r="8">
      <c r="A8" s="1" t="n">
        <v>46162</v>
      </c>
      <c r="B8" s="0" t="inlineStr">
        <is>
          <t>尚赢贰6C</t>
        </is>
      </c>
      <c r="D8" s="0" t="n">
        <v>2000</v>
      </c>
      <c r="E8" s="563">
        <f>E7+C8-D8</f>
        <v/>
      </c>
      <c r="J8" s="565" t="inlineStr">
        <is>
          <t>5-28缴款</t>
        </is>
      </c>
      <c r="K8" s="565" t="inlineStr">
        <is>
          <t>尚乘1期次级</t>
        </is>
      </c>
      <c r="L8" s="348" t="n">
        <v>2000</v>
      </c>
      <c r="M8" s="150" t="n">
        <v>0.052</v>
      </c>
      <c r="Q8" s="1" t="n">
        <v>46157</v>
      </c>
      <c r="S8" s="185" t="n">
        <v>-103.35</v>
      </c>
      <c r="T8" s="632">
        <f>ROUND(100*(1+6.5%*(Q8-Q6)/365)-R7,3)</f>
        <v/>
      </c>
    </row>
    <row r="9">
      <c r="A9" s="1" t="n">
        <v>46162</v>
      </c>
      <c r="B9" s="0" t="inlineStr">
        <is>
          <t>美团</t>
        </is>
      </c>
      <c r="D9" s="0" t="n">
        <v>1000</v>
      </c>
      <c r="E9" s="563">
        <f>E8+C9-D9</f>
        <v/>
      </c>
      <c r="J9" s="348" t="inlineStr">
        <is>
          <t>5月22日簿记</t>
        </is>
      </c>
      <c r="K9" s="565" t="inlineStr">
        <is>
          <t>盛赢4-3</t>
        </is>
      </c>
      <c r="L9" s="348" t="n">
        <v>2125</v>
      </c>
      <c r="M9" s="150" t="n">
        <v>0.0455</v>
      </c>
      <c r="Q9" s="1" t="n">
        <v>46167</v>
      </c>
      <c r="R9" s="586">
        <f>5*(Q9-Q7)/365</f>
        <v/>
      </c>
      <c r="S9" s="586">
        <f>+R9</f>
        <v/>
      </c>
    </row>
    <row r="10">
      <c r="E10" s="563">
        <f>E9+C10-D10</f>
        <v/>
      </c>
      <c r="J10" s="348" t="inlineStr">
        <is>
          <t>5月18日簿记</t>
        </is>
      </c>
      <c r="K10" s="565" t="inlineStr">
        <is>
          <t>美满生意2025年1期1号</t>
        </is>
      </c>
      <c r="L10" s="348" t="n">
        <v>1000</v>
      </c>
      <c r="M10" s="150" t="n">
        <v>0.047</v>
      </c>
      <c r="Q10" s="1" t="n">
        <v>46254</v>
      </c>
      <c r="R10" s="586">
        <f>5*(Q10-Q9)/365</f>
        <v/>
      </c>
      <c r="S10" s="586">
        <f>+R10</f>
        <v/>
      </c>
    </row>
    <row r="11">
      <c r="A11" s="4" t="n">
        <v>46163</v>
      </c>
      <c r="B11" s="565" t="inlineStr">
        <is>
          <t>金采夹层</t>
        </is>
      </c>
      <c r="D11" s="0" t="n">
        <v>1000</v>
      </c>
      <c r="E11" s="563">
        <f>E10+C11-D11</f>
        <v/>
      </c>
      <c r="J11" s="348" t="inlineStr">
        <is>
          <t>5月18日簿记</t>
        </is>
      </c>
      <c r="K11" s="565" t="inlineStr">
        <is>
          <t>尚赢2-6</t>
        </is>
      </c>
      <c r="L11" s="348" t="n">
        <v>2000</v>
      </c>
      <c r="M11" s="167" t="n">
        <v>0.031</v>
      </c>
      <c r="Q11" s="1" t="n">
        <v>46345</v>
      </c>
      <c r="R11" s="586">
        <f>5*(Q11-Q10)/365</f>
        <v/>
      </c>
      <c r="S11" s="586">
        <f>+R11</f>
        <v/>
      </c>
    </row>
    <row r="12">
      <c r="E12" s="563">
        <f>E11+C12-D12</f>
        <v/>
      </c>
      <c r="J12" s="565" t="inlineStr">
        <is>
          <t>5月中簿记</t>
        </is>
      </c>
      <c r="K12" s="565" t="inlineStr">
        <is>
          <t>博枫公寓</t>
        </is>
      </c>
      <c r="L12" s="564" t="n">
        <v>1000</v>
      </c>
      <c r="M12" s="150" t="n">
        <v>0.053</v>
      </c>
      <c r="N12" s="0" t="inlineStr">
        <is>
          <t>？</t>
        </is>
      </c>
      <c r="Q12" s="1" t="n">
        <v>46443</v>
      </c>
      <c r="R12" s="586">
        <f>5*(Q12-Q11)/365</f>
        <v/>
      </c>
      <c r="S12" s="586">
        <f>+R12</f>
        <v/>
      </c>
    </row>
    <row r="13">
      <c r="A13" s="4" t="n">
        <v>46168</v>
      </c>
      <c r="B13" s="565" t="inlineStr">
        <is>
          <t>盛赢4-3</t>
        </is>
      </c>
      <c r="D13" s="0" t="n">
        <v>2125</v>
      </c>
      <c r="E13" s="563">
        <f>E12+C13-D13</f>
        <v/>
      </c>
      <c r="J13" s="633" t="inlineStr">
        <is>
          <t>可随时交易</t>
        </is>
      </c>
      <c r="K13" s="633" t="inlineStr">
        <is>
          <t xml:space="preserve">GC港华智慧能源01[121627.SZ] </t>
        </is>
      </c>
      <c r="L13" s="414" t="n">
        <v>2000</v>
      </c>
      <c r="M13" s="545" t="n">
        <v>0.073</v>
      </c>
      <c r="Q13" s="1" t="n">
        <v>46527</v>
      </c>
      <c r="R13" s="586">
        <f>5*(Q13-Q12)/365</f>
        <v/>
      </c>
      <c r="S13" s="586">
        <f>+R13</f>
        <v/>
      </c>
    </row>
    <row r="14">
      <c r="E14" s="563">
        <f>E13+C14-D14</f>
        <v/>
      </c>
      <c r="J14" s="633" t="inlineStr">
        <is>
          <t>可随时交易</t>
        </is>
      </c>
      <c r="K14" s="633" t="inlineStr">
        <is>
          <t>铁建085C</t>
        </is>
      </c>
      <c r="L14" s="414" t="n">
        <v>1950</v>
      </c>
      <c r="M14" s="447" t="n">
        <v>0.065</v>
      </c>
      <c r="N14" s="564" t="inlineStr">
        <is>
          <t>平价，帮代持，成本5.5%</t>
        </is>
      </c>
      <c r="Q14" s="1" t="n">
        <v>46618</v>
      </c>
      <c r="R14" s="586">
        <f>5*(Q14-Q13)/365</f>
        <v/>
      </c>
      <c r="S14" s="586">
        <f>+R14</f>
        <v/>
      </c>
    </row>
    <row r="15">
      <c r="E15" s="563">
        <f>E14+C15-D15</f>
        <v/>
      </c>
      <c r="I15" s="0" t="inlineStr">
        <is>
          <t>山金</t>
        </is>
      </c>
      <c r="J15" s="546" t="n">
        <v>46157</v>
      </c>
      <c r="K15" s="633" t="inlineStr">
        <is>
          <t>铁建053C</t>
        </is>
      </c>
      <c r="L15" s="414" t="n">
        <v>3000</v>
      </c>
      <c r="M15" s="547" t="n">
        <v>0.07000000000000001</v>
      </c>
      <c r="N15" s="564" t="inlineStr">
        <is>
          <t>6-8到期</t>
        </is>
      </c>
      <c r="Q15" s="1" t="n">
        <v>46653</v>
      </c>
      <c r="R15" s="586">
        <f>100*(1+6.5%*(Q15-Q6)/365)-SUM(R7:R14)</f>
        <v/>
      </c>
      <c r="S15" s="586">
        <f>+R15</f>
        <v/>
      </c>
    </row>
    <row r="16">
      <c r="E16" s="563">
        <f>E15+C16-D16</f>
        <v/>
      </c>
      <c r="J16" s="565" t="n"/>
      <c r="K16" s="565" t="n"/>
      <c r="L16" s="348" t="n"/>
      <c r="M16" s="150" t="n"/>
      <c r="N16" s="564" t="n"/>
    </row>
    <row r="17">
      <c r="A17" s="4" t="n">
        <v>46181</v>
      </c>
      <c r="B17" s="0" t="inlineStr">
        <is>
          <t>铁建053C兑付</t>
        </is>
      </c>
      <c r="C17" s="0" t="n">
        <v>3372</v>
      </c>
      <c r="E17" s="563">
        <f>E16+C17-D17</f>
        <v/>
      </c>
      <c r="J17" s="565" t="inlineStr">
        <is>
          <t>5月19日簿记</t>
        </is>
      </c>
      <c r="K17" s="565" t="inlineStr">
        <is>
          <t>金采8-1次级</t>
        </is>
      </c>
      <c r="L17" s="564" t="n">
        <v>750</v>
      </c>
      <c r="M17" s="150" t="n">
        <v>0.0455</v>
      </c>
      <c r="N17" s="564" t="n"/>
    </row>
    <row r="18">
      <c r="E18" s="563">
        <f>E17+C18-D18</f>
        <v/>
      </c>
      <c r="J18" s="565" t="inlineStr">
        <is>
          <t>5月19日簿记</t>
        </is>
      </c>
      <c r="K18" s="565" t="inlineStr">
        <is>
          <t>金采8-1夹层</t>
        </is>
      </c>
      <c r="L18" s="564" t="n">
        <v>1000</v>
      </c>
      <c r="M18" s="150" t="n">
        <v>0.031</v>
      </c>
      <c r="N18" s="564" t="n"/>
    </row>
    <row r="19">
      <c r="E19" s="563">
        <f>E18+C19-D19</f>
        <v/>
      </c>
      <c r="J19" s="348" t="n"/>
      <c r="K19" s="565" t="inlineStr">
        <is>
          <t>诚瑞abs优先B</t>
        </is>
      </c>
      <c r="L19" s="348" t="n">
        <v>2000</v>
      </c>
      <c r="M19" s="167" t="n">
        <v>0.029</v>
      </c>
      <c r="N19" s="564" t="n"/>
    </row>
    <row r="20">
      <c r="E20" s="563">
        <f>E19+C20-D20</f>
        <v/>
      </c>
      <c r="J20" s="348" t="n"/>
      <c r="K20" s="565" t="n"/>
      <c r="L20" s="564" t="n"/>
    </row>
    <row r="21">
      <c r="E21" s="563">
        <f>E20+C21-D21</f>
        <v/>
      </c>
      <c r="J21" s="348" t="n"/>
      <c r="K21" s="565" t="n"/>
      <c r="L21" s="634">
        <f>SUM(L5:L18)</f>
        <v/>
      </c>
      <c r="M21" s="215">
        <f>SUMPRODUCT(M5:M19,L5:L19)/L21</f>
        <v/>
      </c>
      <c r="N21" s="564" t="n"/>
    </row>
    <row r="22">
      <c r="E22" s="563">
        <f>E21+C22-D22</f>
        <v/>
      </c>
      <c r="J22" s="500" t="inlineStr">
        <is>
          <t>苏信2603</t>
        </is>
      </c>
      <c r="K22" s="635" t="inlineStr">
        <is>
          <t>远东</t>
        </is>
      </c>
      <c r="L22" s="636" t="n">
        <v>2000</v>
      </c>
      <c r="M22" s="503" t="n">
        <v>0.03</v>
      </c>
      <c r="N22" s="0" t="inlineStr">
        <is>
          <t>改6月初发行了，而且结构变了</t>
        </is>
      </c>
    </row>
    <row r="23">
      <c r="E23" s="563">
        <f>E22+C23-D23</f>
        <v/>
      </c>
      <c r="J23" s="565" t="n"/>
      <c r="K23" s="565" t="n"/>
      <c r="L23" s="564" t="n"/>
    </row>
    <row r="24">
      <c r="E24" s="563">
        <f>E23+C24-D24</f>
        <v/>
      </c>
    </row>
    <row r="25">
      <c r="E25" s="563">
        <f>E24+C25-D25</f>
        <v/>
      </c>
    </row>
    <row r="26">
      <c r="E26" s="563">
        <f>E25+C26-D26</f>
        <v/>
      </c>
    </row>
  </sheetData>
  <conditionalFormatting sqref="E1:E1048576">
    <cfRule type="cellIs" priority="1" operator="lessThan" dxfId="0">
      <formula>0</formula>
    </cfRule>
  </conditionalFormatting>
  <pageMargins left="0.7" right="0.7" top="0.75" bottom="0.75" header="0.3" footer="0.3"/>
  <pageSetup orientation="portrait" paperSize="9"/>
</worksheet>
</file>

<file path=xl/worksheets/sheet14.xml><?xml version="1.0" encoding="utf-8"?>
<worksheet xmlns="http://schemas.openxmlformats.org/spreadsheetml/2006/main">
  <sheetPr codeName="Sheet10">
    <outlinePr summaryBelow="1" summaryRight="1"/>
    <pageSetUpPr/>
  </sheetPr>
  <dimension ref="A1:H107"/>
  <sheetViews>
    <sheetView workbookViewId="0">
      <pane ySplit="2" topLeftCell="A68" activePane="bottomLeft" state="frozen"/>
      <selection pane="bottomLeft" activeCell="L104" sqref="L104"/>
    </sheetView>
  </sheetViews>
  <sheetFormatPr baseColWidth="8" defaultRowHeight="16.5"/>
  <cols>
    <col width="10" bestFit="1" customWidth="1" style="4" min="1" max="1"/>
    <col width="13.75" customWidth="1" style="326" min="2" max="2"/>
    <col width="7.75" customWidth="1" style="326" min="3" max="4"/>
    <col width="8.75" bestFit="1" customWidth="1" style="563" min="5" max="5"/>
    <col width="12.875" bestFit="1" customWidth="1" style="326" min="8" max="8"/>
  </cols>
  <sheetData>
    <row r="1">
      <c r="A1" s="10" t="inlineStr">
        <is>
          <t>日期</t>
        </is>
      </c>
      <c r="B1" s="10" t="inlineStr">
        <is>
          <t>现金流类型</t>
        </is>
      </c>
      <c r="C1" s="10" t="inlineStr">
        <is>
          <t>关联产品</t>
        </is>
      </c>
      <c r="D1" s="10" t="inlineStr">
        <is>
          <t>现金流入</t>
        </is>
      </c>
      <c r="E1" s="10" t="inlineStr">
        <is>
          <t>现金流出</t>
        </is>
      </c>
      <c r="F1" t="inlineStr">
        <is>
          <t>期末余额</t>
        </is>
      </c>
    </row>
    <row r="2">
      <c r="A2" s="4" t="n">
        <v>46160</v>
      </c>
      <c r="B2" s="0" t="inlineStr">
        <is>
          <t>申购</t>
        </is>
      </c>
      <c r="C2" s="0" t="inlineStr">
        <is>
          <t>102.5</t>
        </is>
      </c>
      <c r="D2" s="0" t="n">
        <v>0</v>
      </c>
      <c r="E2" s="563" t="n">
        <v>313.819749</v>
      </c>
      <c r="F2" t="n">
        <v>0</v>
      </c>
    </row>
    <row r="3">
      <c r="A3" s="4" t="n">
        <v>46160</v>
      </c>
      <c r="B3" t="inlineStr">
        <is>
          <t>工鑫38次</t>
        </is>
      </c>
      <c r="C3" t="inlineStr"/>
      <c r="D3" t="n">
        <v>88.88</v>
      </c>
      <c r="E3" s="563" t="n">
        <v>224.939749</v>
      </c>
      <c r="F3" t="n">
        <v>0</v>
      </c>
    </row>
    <row r="4">
      <c r="A4" s="637" t="n">
        <v>46162</v>
      </c>
      <c r="B4" s="115" t="inlineStr">
        <is>
          <t>工鑫38次</t>
        </is>
      </c>
      <c r="C4" s="112" t="inlineStr">
        <is>
          <t>88.88</t>
        </is>
      </c>
      <c r="D4" s="112" t="n">
        <v>0</v>
      </c>
      <c r="E4" s="572" t="n">
        <v>313.819749</v>
      </c>
      <c r="F4" t="n">
        <v>0</v>
      </c>
    </row>
    <row r="5">
      <c r="A5" s="637" t="n">
        <v>46163</v>
      </c>
      <c r="B5" s="162" t="inlineStr">
        <is>
          <t>场外期权保证金提取</t>
        </is>
      </c>
      <c r="C5" s="112" t="inlineStr">
        <is>
          <t>252</t>
        </is>
      </c>
      <c r="D5" s="112" t="n">
        <v>0</v>
      </c>
      <c r="E5" s="572" t="n">
        <v>565.819749</v>
      </c>
      <c r="F5" t="n">
        <v>0</v>
      </c>
    </row>
    <row r="6">
      <c r="A6" s="637" t="n">
        <v>46164</v>
      </c>
      <c r="B6" s="115" t="inlineStr">
        <is>
          <t>申购</t>
        </is>
      </c>
      <c r="C6" s="112" t="inlineStr">
        <is>
          <t>860</t>
        </is>
      </c>
      <c r="D6" s="112" t="n">
        <v>0</v>
      </c>
      <c r="E6" s="572" t="n">
        <v>1425.819749</v>
      </c>
      <c r="F6" t="n">
        <v>0</v>
      </c>
    </row>
    <row r="7">
      <c r="A7" s="637" t="n">
        <v>46164</v>
      </c>
      <c r="B7" s="115" t="inlineStr">
        <is>
          <t>赎回</t>
        </is>
      </c>
      <c r="C7" s="112" t="inlineStr"/>
      <c r="D7" s="112" t="n">
        <v>285.6</v>
      </c>
      <c r="E7" s="572" t="n">
        <v>1140.219749</v>
      </c>
      <c r="F7" t="n">
        <v>0</v>
      </c>
    </row>
    <row r="8">
      <c r="A8" s="156" t="n">
        <v>46164</v>
      </c>
      <c r="B8" s="112" t="inlineStr">
        <is>
          <t>昆仑信托昆银1号</t>
        </is>
      </c>
      <c r="C8" s="112" t="inlineStr"/>
      <c r="D8" s="112" t="n">
        <v>100</v>
      </c>
      <c r="E8" s="572" t="n">
        <v>40.21974899999987</v>
      </c>
      <c r="F8" t="n">
        <v>0</v>
      </c>
    </row>
    <row r="9">
      <c r="A9" s="156" t="n">
        <v>46178</v>
      </c>
      <c r="B9" s="115" t="inlineStr">
        <is>
          <t>赎回</t>
        </is>
      </c>
      <c r="C9" s="112" t="inlineStr"/>
      <c r="D9" s="112" t="n">
        <v>112.35</v>
      </c>
      <c r="E9" s="572" t="n">
        <v>-72.13025100000014</v>
      </c>
      <c r="F9" t="n">
        <v>0</v>
      </c>
    </row>
    <row r="10">
      <c r="A10" s="156" t="n">
        <v>46185</v>
      </c>
      <c r="B10" s="115" t="inlineStr">
        <is>
          <t>赎回</t>
        </is>
      </c>
      <c r="C10" s="112" t="inlineStr"/>
      <c r="D10" s="112" t="n">
        <v>11.235</v>
      </c>
      <c r="E10" s="572" t="n">
        <v>-83.36525100000014</v>
      </c>
      <c r="F10" t="n">
        <v>0</v>
      </c>
    </row>
    <row r="11">
      <c r="A11" s="156" t="n">
        <v>46199</v>
      </c>
      <c r="B11" s="112" t="inlineStr">
        <is>
          <t>赎回</t>
        </is>
      </c>
      <c r="C11" s="112" t="inlineStr"/>
      <c r="D11" s="112" t="n">
        <v>2400</v>
      </c>
      <c r="E11" s="572" t="n">
        <v>-2483.365251</v>
      </c>
      <c r="F11" t="n">
        <v>0</v>
      </c>
    </row>
    <row r="12">
      <c r="A12" s="156" t="n">
        <v>46171</v>
      </c>
      <c r="B12" s="112" t="inlineStr">
        <is>
          <t>申购</t>
        </is>
      </c>
      <c r="C12" s="112" t="inlineStr">
        <is>
          <t>朗瑞1_5</t>
        </is>
      </c>
      <c r="D12" s="112" t="n">
        <v>500</v>
      </c>
      <c r="E12" s="572">
        <f>+E11+C12-D12</f>
        <v/>
      </c>
    </row>
    <row r="13">
      <c r="A13" s="156" t="n">
        <v>46052</v>
      </c>
      <c r="B13" s="112" t="inlineStr">
        <is>
          <t>鹏雅119</t>
        </is>
      </c>
      <c r="C13" s="112" t="n"/>
      <c r="D13" s="112" t="n">
        <v>50</v>
      </c>
      <c r="E13" s="572">
        <f>+E12+C13-D13</f>
        <v/>
      </c>
    </row>
    <row r="14">
      <c r="A14" s="156" t="n">
        <v>46055</v>
      </c>
      <c r="B14" s="112" t="inlineStr">
        <is>
          <t>期权补款</t>
        </is>
      </c>
      <c r="C14" s="112" t="n"/>
      <c r="D14" s="112" t="n">
        <v>25</v>
      </c>
      <c r="E14" s="572">
        <f>+E13+C14-D14</f>
        <v/>
      </c>
      <c r="F14" s="0" t="inlineStr">
        <is>
          <t>合计连同期权户的27w，=50w投资期权</t>
        </is>
      </c>
    </row>
    <row r="15">
      <c r="A15" s="156" t="n"/>
      <c r="B15" s="112" t="n"/>
      <c r="C15" s="112" t="n"/>
      <c r="D15" s="112" t="n"/>
      <c r="E15" s="572">
        <f>+E14+C15-D15</f>
        <v/>
      </c>
    </row>
    <row r="16">
      <c r="A16" s="156" t="n">
        <v>46058</v>
      </c>
      <c r="B16" s="112" t="inlineStr">
        <is>
          <t>朗瑞1-5赎回</t>
        </is>
      </c>
      <c r="C16" s="112" t="n">
        <v>1200</v>
      </c>
      <c r="D16" s="112" t="n"/>
      <c r="E16" s="572">
        <f>+E15+C16-D16</f>
        <v/>
      </c>
    </row>
    <row r="17">
      <c r="A17" s="156" t="n">
        <v>46059</v>
      </c>
      <c r="B17" s="112" t="inlineStr">
        <is>
          <t>赎回</t>
        </is>
      </c>
      <c r="C17" s="112" t="n"/>
      <c r="D17" s="112">
        <f>9914733*1.029/10000</f>
        <v/>
      </c>
      <c r="E17" s="572">
        <f>+E16+C17-D17</f>
        <v/>
      </c>
    </row>
    <row r="18">
      <c r="A18" s="156" t="n">
        <v>46059</v>
      </c>
      <c r="B18" s="112" t="inlineStr">
        <is>
          <t>雪球申购</t>
        </is>
      </c>
      <c r="C18" s="112" t="n">
        <v>100</v>
      </c>
      <c r="D18" s="112" t="n"/>
      <c r="E18" s="572">
        <f>+E17+C18-D18</f>
        <v/>
      </c>
    </row>
    <row r="19">
      <c r="A19" s="156" t="n"/>
      <c r="B19" s="112" t="n"/>
      <c r="C19" s="112" t="n"/>
      <c r="D19" s="112" t="n"/>
      <c r="E19" s="572">
        <f>+E18+C19-D19</f>
        <v/>
      </c>
    </row>
    <row r="20">
      <c r="A20" s="156" t="n">
        <v>46062</v>
      </c>
      <c r="B20" s="112" t="inlineStr">
        <is>
          <t>朗瑞1-5申购</t>
        </is>
      </c>
      <c r="C20" s="112" t="n"/>
      <c r="D20" s="112" t="n">
        <v>200</v>
      </c>
      <c r="E20" s="572">
        <f>+E19+C20-D20</f>
        <v/>
      </c>
    </row>
    <row r="21">
      <c r="A21" s="156" t="n">
        <v>46064</v>
      </c>
      <c r="B21" s="112" t="inlineStr">
        <is>
          <t>期权补款</t>
        </is>
      </c>
      <c r="C21" s="112" t="n"/>
      <c r="D21" s="112" t="n">
        <v>125</v>
      </c>
      <c r="E21" s="572">
        <f>+E20+C21-D21</f>
        <v/>
      </c>
    </row>
    <row r="22">
      <c r="A22" s="156" t="n">
        <v>46066</v>
      </c>
      <c r="B22" s="112" t="inlineStr">
        <is>
          <t>新增申购</t>
        </is>
      </c>
      <c r="C22" s="112" t="n">
        <v>200</v>
      </c>
      <c r="D22" s="112" t="n"/>
      <c r="E22" s="572">
        <f>+E21+C22-D22</f>
        <v/>
      </c>
    </row>
    <row r="23">
      <c r="A23" s="156" t="n">
        <v>46066</v>
      </c>
      <c r="B23" s="112" t="inlineStr">
        <is>
          <t>赎回</t>
        </is>
      </c>
      <c r="C23" s="112" t="n"/>
      <c r="D23" s="112" t="n">
        <v>101</v>
      </c>
      <c r="E23" s="572">
        <f>+E22+C23-D23</f>
        <v/>
      </c>
    </row>
    <row r="24">
      <c r="A24" s="156" t="n"/>
      <c r="B24" s="112" t="n"/>
      <c r="C24" s="112" t="n"/>
      <c r="D24" s="112" t="n"/>
      <c r="E24" s="572">
        <f>+E23+C24-D24</f>
        <v/>
      </c>
    </row>
    <row r="25">
      <c r="A25" s="156" t="n"/>
      <c r="B25" s="112" t="n"/>
      <c r="C25" s="112" t="n"/>
      <c r="D25" s="112" t="n"/>
      <c r="E25" s="572">
        <f>+E24+C25-D25</f>
        <v/>
      </c>
    </row>
    <row r="26">
      <c r="A26" s="156" t="n"/>
      <c r="B26" s="112" t="n"/>
      <c r="C26" s="112" t="n"/>
      <c r="D26" s="112" t="n"/>
      <c r="E26" s="572">
        <f>+E25+C26-D26</f>
        <v/>
      </c>
    </row>
    <row r="27">
      <c r="A27" s="156" t="n">
        <v>46080</v>
      </c>
      <c r="B27" s="112" t="inlineStr">
        <is>
          <t>朗瑞1-5赎回</t>
        </is>
      </c>
      <c r="C27" s="112" t="n">
        <v>200</v>
      </c>
      <c r="D27" s="112" t="n"/>
      <c r="E27" s="572">
        <f>+E26+C27-D27</f>
        <v/>
      </c>
    </row>
    <row r="28">
      <c r="A28" s="156" t="n">
        <v>46080</v>
      </c>
      <c r="B28" s="112" t="inlineStr">
        <is>
          <t>赎回</t>
        </is>
      </c>
      <c r="C28" s="112" t="n"/>
      <c r="D28" s="112">
        <f>267*1.032</f>
        <v/>
      </c>
      <c r="E28" s="572">
        <f>+E27+C28-D28</f>
        <v/>
      </c>
    </row>
    <row r="29">
      <c r="A29" s="156" t="n"/>
      <c r="B29" s="112" t="n"/>
      <c r="C29" s="112" t="n"/>
      <c r="D29" s="112" t="n"/>
      <c r="E29" s="572">
        <f>+E28+C29-D29</f>
        <v/>
      </c>
    </row>
    <row r="30">
      <c r="A30" s="156" t="n">
        <v>46084</v>
      </c>
      <c r="B30" s="112" t="inlineStr">
        <is>
          <t>朗瑞1-5赎回</t>
        </is>
      </c>
      <c r="C30" s="576">
        <f>朗瑞1_5!D54</f>
        <v/>
      </c>
      <c r="D30" s="112" t="n"/>
      <c r="E30" s="572">
        <f>+E29+C30-D30</f>
        <v/>
      </c>
    </row>
    <row r="31">
      <c r="A31" s="156" t="n"/>
      <c r="B31" s="112" t="n"/>
      <c r="C31" s="112" t="n"/>
      <c r="D31" s="112" t="n"/>
      <c r="E31" s="572">
        <f>+E30+C31-D31</f>
        <v/>
      </c>
    </row>
    <row r="32">
      <c r="A32" s="156" t="n">
        <v>46087</v>
      </c>
      <c r="B32" s="112" t="inlineStr">
        <is>
          <t>申购</t>
        </is>
      </c>
      <c r="C32" s="112" t="n">
        <v>180</v>
      </c>
      <c r="D32" s="112" t="n"/>
      <c r="E32" s="572">
        <f>+E31+C32-D32</f>
        <v/>
      </c>
    </row>
    <row r="33">
      <c r="A33" s="156" t="n">
        <v>46090</v>
      </c>
      <c r="B33" s="112" t="inlineStr">
        <is>
          <t>朗瑞1-7</t>
        </is>
      </c>
      <c r="C33" s="112" t="n"/>
      <c r="D33" s="112" t="n">
        <v>550</v>
      </c>
      <c r="E33" s="563">
        <f>+E32+C33-D33</f>
        <v/>
      </c>
    </row>
    <row r="34">
      <c r="A34" s="156" t="n">
        <v>46093</v>
      </c>
      <c r="B34" s="112" t="inlineStr">
        <is>
          <t>期权补款</t>
        </is>
      </c>
      <c r="C34" s="112" t="n"/>
      <c r="D34" s="112" t="n">
        <v>60</v>
      </c>
      <c r="E34" s="563">
        <f>+E33+C34-D34</f>
        <v/>
      </c>
    </row>
    <row r="35">
      <c r="A35" s="156" t="n">
        <v>46094</v>
      </c>
      <c r="B35" s="112" t="inlineStr">
        <is>
          <t>赎回</t>
        </is>
      </c>
      <c r="C35" s="112" t="n"/>
      <c r="D35" s="112" t="n">
        <v>519</v>
      </c>
      <c r="E35" s="563">
        <f>+E34+C35-D35</f>
        <v/>
      </c>
    </row>
    <row r="36">
      <c r="A36" s="156" t="n">
        <v>46094</v>
      </c>
      <c r="B36" s="112" t="inlineStr">
        <is>
          <t>申购</t>
        </is>
      </c>
      <c r="C36" s="112" t="n">
        <v>100</v>
      </c>
      <c r="D36" s="112" t="n"/>
      <c r="E36" s="563">
        <f>+E35+C36-D36</f>
        <v/>
      </c>
    </row>
    <row r="37">
      <c r="B37" s="112" t="n"/>
      <c r="E37" s="563">
        <f>+E36+C37-D37</f>
        <v/>
      </c>
    </row>
    <row r="38">
      <c r="A38" s="156" t="n">
        <v>46101</v>
      </c>
      <c r="B38" s="112" t="inlineStr">
        <is>
          <t>申购</t>
        </is>
      </c>
      <c r="C38" s="112" t="n">
        <v>615</v>
      </c>
      <c r="D38" s="112" t="n"/>
      <c r="E38" s="572">
        <f>+E37+C38-D38</f>
        <v/>
      </c>
    </row>
    <row r="39">
      <c r="A39" s="156" t="n">
        <v>46104</v>
      </c>
      <c r="B39" s="112" t="inlineStr">
        <is>
          <t>朗瑞1-5</t>
        </is>
      </c>
      <c r="C39" s="112" t="n"/>
      <c r="D39" s="112" t="n">
        <v>700</v>
      </c>
      <c r="E39" s="572">
        <f>+E38+C39-D39</f>
        <v/>
      </c>
    </row>
    <row r="40">
      <c r="A40" s="156" t="n"/>
      <c r="B40" s="112" t="n"/>
      <c r="C40" s="112" t="n"/>
      <c r="D40" s="112" t="n"/>
      <c r="E40" s="572">
        <f>+E39+C40-D40</f>
        <v/>
      </c>
    </row>
    <row r="41">
      <c r="A41" s="156" t="n"/>
      <c r="B41" s="112" t="n"/>
      <c r="C41" s="112" t="n"/>
      <c r="D41" s="112" t="n"/>
      <c r="E41" s="572">
        <f>+E40+C41-D41</f>
        <v/>
      </c>
    </row>
    <row r="42">
      <c r="A42" s="156" t="n">
        <v>46108</v>
      </c>
      <c r="B42" s="112" t="inlineStr">
        <is>
          <t>新增申购</t>
        </is>
      </c>
      <c r="C42" s="112" t="n">
        <v>100</v>
      </c>
      <c r="D42" s="112" t="n"/>
      <c r="E42" s="572">
        <f>+E41+C42-D42</f>
        <v/>
      </c>
    </row>
    <row r="43">
      <c r="A43" s="156" t="n">
        <v>46112</v>
      </c>
      <c r="B43" s="112" t="inlineStr">
        <is>
          <t>外贸元康1号赎回</t>
        </is>
      </c>
      <c r="C43" s="112" t="n">
        <v>720</v>
      </c>
      <c r="D43" s="112" t="n"/>
      <c r="E43" s="572">
        <f>+E42+C43-D43</f>
        <v/>
      </c>
    </row>
    <row r="44">
      <c r="A44" s="156" t="n">
        <v>46115</v>
      </c>
      <c r="B44" s="112" t="inlineStr">
        <is>
          <t>新增申购</t>
        </is>
      </c>
      <c r="C44" s="112" t="n">
        <v>201</v>
      </c>
      <c r="D44" s="112" t="n"/>
      <c r="E44" s="572">
        <f>+E43+C44-D44</f>
        <v/>
      </c>
    </row>
    <row r="45">
      <c r="A45" s="156" t="n">
        <v>46115</v>
      </c>
      <c r="B45" s="112" t="inlineStr">
        <is>
          <t>赎回</t>
        </is>
      </c>
      <c r="C45" s="112" t="n"/>
      <c r="D45" s="112">
        <f>495+164</f>
        <v/>
      </c>
      <c r="E45" s="572">
        <f>+E44+C45-D45</f>
        <v/>
      </c>
    </row>
    <row r="46">
      <c r="A46" s="156" t="n"/>
      <c r="B46" s="112" t="n"/>
      <c r="C46" s="112" t="n"/>
      <c r="D46" s="112" t="n"/>
      <c r="E46" s="572">
        <f>+E45+C46-D46</f>
        <v/>
      </c>
    </row>
    <row r="47">
      <c r="A47" s="156" t="n"/>
      <c r="B47" s="112" t="n"/>
      <c r="C47" s="112" t="n"/>
      <c r="D47" s="112" t="n"/>
      <c r="E47" s="572">
        <f>+E46+C47-D47</f>
        <v/>
      </c>
    </row>
    <row r="48">
      <c r="A48" s="156" t="n"/>
      <c r="B48" s="112" t="n"/>
      <c r="C48" s="112" t="n"/>
      <c r="D48" s="112" t="n"/>
      <c r="E48" s="572">
        <f>+E47+C48-D48</f>
        <v/>
      </c>
    </row>
    <row r="49">
      <c r="A49" s="156" t="n">
        <v>46122</v>
      </c>
      <c r="B49" s="112" t="inlineStr">
        <is>
          <t>赎回</t>
        </is>
      </c>
      <c r="C49" s="112" t="n"/>
      <c r="D49" s="112" t="n">
        <v>310.76</v>
      </c>
      <c r="E49" s="572" t="n">
        <v>119</v>
      </c>
      <c r="H49" s="564" t="n"/>
    </row>
    <row r="50">
      <c r="A50" s="156" t="n">
        <v>46125</v>
      </c>
      <c r="B50" s="112" t="inlineStr">
        <is>
          <t>雪球申购</t>
        </is>
      </c>
      <c r="C50" s="112" t="n">
        <v>100</v>
      </c>
      <c r="D50" s="112" t="n"/>
      <c r="E50" s="572">
        <f>+E49+C50-D50</f>
        <v/>
      </c>
      <c r="H50" s="564" t="n"/>
    </row>
    <row r="51">
      <c r="E51" s="563">
        <f>+E50+C51-D51</f>
        <v/>
      </c>
      <c r="H51" s="564" t="n"/>
    </row>
    <row r="52">
      <c r="E52" s="563">
        <f>+E51+C52-D52</f>
        <v/>
      </c>
    </row>
    <row r="53">
      <c r="E53" s="563">
        <f>+E52+C53-D53</f>
        <v/>
      </c>
    </row>
    <row r="54">
      <c r="A54" s="156" t="n">
        <v>46129</v>
      </c>
      <c r="B54" s="112" t="inlineStr">
        <is>
          <t>美市申购</t>
        </is>
      </c>
      <c r="C54" s="112" t="n">
        <v>200</v>
      </c>
      <c r="D54" s="112" t="n"/>
      <c r="E54" s="572">
        <f>+E53+C54-D54</f>
        <v/>
      </c>
    </row>
    <row r="55">
      <c r="A55" s="156" t="n">
        <v>46132</v>
      </c>
      <c r="B55" s="112" t="inlineStr">
        <is>
          <t>税费</t>
        </is>
      </c>
      <c r="C55" s="112" t="n"/>
      <c r="D55" s="112" t="n">
        <v>10.36</v>
      </c>
      <c r="E55" s="572">
        <f>+E54+C55-D55</f>
        <v/>
      </c>
    </row>
    <row r="56">
      <c r="A56" s="156" t="n">
        <v>46133</v>
      </c>
      <c r="B56" s="112" t="inlineStr">
        <is>
          <t>中航瑞华1号赎回</t>
        </is>
      </c>
      <c r="C56" s="112" t="n">
        <v>41</v>
      </c>
      <c r="D56" s="112" t="n"/>
      <c r="E56" s="572">
        <f>+E55+C56-D56</f>
        <v/>
      </c>
    </row>
    <row r="57">
      <c r="A57" s="156" t="n">
        <v>46133</v>
      </c>
      <c r="B57" s="112" t="inlineStr">
        <is>
          <t>朗瑞1号5期赎回</t>
        </is>
      </c>
      <c r="C57" s="112" t="n">
        <v>800</v>
      </c>
      <c r="D57" s="112" t="n"/>
      <c r="E57" s="572">
        <f>+E56+C57-D57</f>
        <v/>
      </c>
      <c r="F57" s="562" t="inlineStr">
        <is>
          <t>已发</t>
        </is>
      </c>
    </row>
    <row r="58">
      <c r="A58" s="156" t="n">
        <v>46134</v>
      </c>
      <c r="B58" s="112" t="inlineStr">
        <is>
          <t>元康28号</t>
        </is>
      </c>
      <c r="C58" s="112" t="n"/>
      <c r="D58" s="112" t="n">
        <v>800</v>
      </c>
      <c r="E58" s="572">
        <f>+E57+C58-D58</f>
        <v/>
      </c>
      <c r="F58" s="562" t="inlineStr">
        <is>
          <t>已发</t>
        </is>
      </c>
    </row>
    <row r="59">
      <c r="A59" s="156" t="n">
        <v>46136</v>
      </c>
      <c r="B59" s="112" t="inlineStr">
        <is>
          <t>申购</t>
        </is>
      </c>
      <c r="C59" s="112" t="n">
        <v>200</v>
      </c>
      <c r="D59" s="112" t="n"/>
      <c r="E59" s="572">
        <f>+E58+C59-D59</f>
        <v/>
      </c>
    </row>
    <row r="60">
      <c r="A60" s="156" t="n"/>
      <c r="B60" s="112" t="n"/>
      <c r="C60" s="112" t="n"/>
      <c r="D60" s="112" t="n"/>
      <c r="E60" s="572">
        <f>+E59+C60-D60</f>
        <v/>
      </c>
    </row>
    <row r="61">
      <c r="A61" s="156" t="n"/>
      <c r="B61" s="112" t="n"/>
      <c r="C61" s="112" t="n"/>
      <c r="D61" s="112" t="n"/>
      <c r="E61" s="572">
        <f>+E60+C61-D61</f>
        <v/>
      </c>
    </row>
    <row r="62">
      <c r="A62" s="156" t="n">
        <v>46140</v>
      </c>
      <c r="B62" s="112" t="inlineStr">
        <is>
          <t>外贸-元康1号赎回</t>
        </is>
      </c>
      <c r="C62" s="112" t="n">
        <v>6795</v>
      </c>
      <c r="D62" s="112" t="n"/>
      <c r="E62" s="572">
        <f>+E61+C62-D62</f>
        <v/>
      </c>
    </row>
    <row r="63">
      <c r="A63" s="156" t="n"/>
      <c r="B63" s="112" t="n"/>
      <c r="C63" s="112" t="n"/>
      <c r="D63" s="112" t="n"/>
      <c r="E63" s="572">
        <f>+E62+C63-D63</f>
        <v/>
      </c>
    </row>
    <row r="64">
      <c r="A64" s="156" t="n">
        <v>46140</v>
      </c>
      <c r="B64" s="156" t="inlineStr">
        <is>
          <t>鹏雅10号119期</t>
        </is>
      </c>
      <c r="C64" s="112" t="n"/>
      <c r="D64" s="112" t="n">
        <v>3000</v>
      </c>
      <c r="E64" s="572">
        <f>+E63+C64-D64</f>
        <v/>
      </c>
      <c r="F64" s="562" t="inlineStr">
        <is>
          <t>已发</t>
        </is>
      </c>
    </row>
    <row r="65">
      <c r="A65" s="156" t="n">
        <v>46140</v>
      </c>
      <c r="B65" s="156" t="inlineStr">
        <is>
          <t>新疆国信</t>
        </is>
      </c>
      <c r="C65" s="112" t="n"/>
      <c r="D65" s="112" t="n">
        <v>2500</v>
      </c>
      <c r="E65" s="572">
        <f>+E64+C65-D65</f>
        <v/>
      </c>
      <c r="F65" s="562" t="inlineStr">
        <is>
          <t>4/28, 新疆国信[266682.SH] ，2500w，全价100，协鑫 to 元康盛景1号</t>
        </is>
      </c>
    </row>
    <row r="66">
      <c r="A66" s="156" t="n"/>
      <c r="B66" s="112" t="n"/>
      <c r="C66" s="112" t="n"/>
      <c r="D66" s="112" t="n"/>
      <c r="E66" s="572">
        <f>+E65+C66-D66</f>
        <v/>
      </c>
    </row>
    <row r="67">
      <c r="A67" s="156" t="n"/>
      <c r="B67" s="112" t="n"/>
      <c r="C67" s="112" t="n"/>
      <c r="D67" s="112" t="n"/>
      <c r="E67" s="572" t="n">
        <v>1946</v>
      </c>
    </row>
    <row r="68">
      <c r="A68" s="156" t="n">
        <v>46141</v>
      </c>
      <c r="B68" s="112" t="inlineStr">
        <is>
          <t>元康28号申购</t>
        </is>
      </c>
      <c r="C68" s="112" t="n"/>
      <c r="D68" s="112" t="n">
        <v>800</v>
      </c>
      <c r="E68" s="572">
        <f>+E67+C68-D68</f>
        <v/>
      </c>
      <c r="F68" s="562" t="inlineStr">
        <is>
          <t>已发</t>
        </is>
      </c>
    </row>
    <row r="69">
      <c r="A69" s="156" t="n"/>
      <c r="B69" s="112" t="n"/>
      <c r="C69" s="112" t="n"/>
      <c r="D69" s="112" t="n"/>
      <c r="E69" s="572">
        <f>+E68+C69-D69</f>
        <v/>
      </c>
    </row>
    <row r="70">
      <c r="A70" s="156" t="n"/>
      <c r="B70" s="112" t="n"/>
      <c r="C70" s="112" t="n"/>
      <c r="D70" s="112" t="n"/>
      <c r="E70" s="572">
        <f>+E69+C70-D70</f>
        <v/>
      </c>
    </row>
    <row r="71">
      <c r="A71" s="156" t="n">
        <v>46142</v>
      </c>
      <c r="B71" s="112" t="inlineStr">
        <is>
          <t>新疆国信分配</t>
        </is>
      </c>
      <c r="C71" s="112" t="n">
        <v>45.8</v>
      </c>
      <c r="D71" s="112" t="n"/>
      <c r="E71" s="572">
        <f>+E70+C71-D71</f>
        <v/>
      </c>
    </row>
    <row r="72">
      <c r="A72" s="156" t="n">
        <v>46149</v>
      </c>
      <c r="B72" s="112" t="inlineStr">
        <is>
          <t>赎回</t>
        </is>
      </c>
      <c r="C72" s="112" t="n"/>
      <c r="D72" s="112">
        <f>378.521407+1.958844</f>
        <v/>
      </c>
      <c r="E72" s="572">
        <f>+E71+C72-D72</f>
        <v/>
      </c>
    </row>
    <row r="73">
      <c r="A73" s="156" t="n">
        <v>46150</v>
      </c>
      <c r="B73" s="112" t="inlineStr">
        <is>
          <t>申购</t>
        </is>
      </c>
      <c r="C73" s="112" t="n">
        <v>100</v>
      </c>
      <c r="D73" s="112" t="n"/>
      <c r="E73" s="572">
        <f>+E72+C73-D73</f>
        <v/>
      </c>
    </row>
    <row r="74">
      <c r="A74" s="156" t="n"/>
      <c r="B74" s="112" t="n"/>
      <c r="C74" s="112" t="n"/>
      <c r="D74" s="112" t="n"/>
      <c r="E74" s="572">
        <f>+E73+C74-D74</f>
        <v/>
      </c>
    </row>
    <row r="75">
      <c r="A75" s="156" t="n">
        <v>46155</v>
      </c>
      <c r="B75" s="112" t="inlineStr">
        <is>
          <t>元康盛景31号申购</t>
        </is>
      </c>
      <c r="C75" s="112" t="n"/>
      <c r="D75" s="112" t="n">
        <v>700</v>
      </c>
      <c r="E75" s="572">
        <f>+E74+C75-D75</f>
        <v/>
      </c>
      <c r="F75" s="562" t="inlineStr">
        <is>
          <t>已发</t>
        </is>
      </c>
    </row>
    <row r="76">
      <c r="A76" s="156" t="n"/>
      <c r="B76" s="112" t="n"/>
      <c r="C76" s="112" t="n"/>
      <c r="D76" s="112" t="n"/>
      <c r="E76" s="572">
        <f>+E75+C76-D76</f>
        <v/>
      </c>
    </row>
    <row r="77">
      <c r="A77" s="156" t="n">
        <v>46160</v>
      </c>
      <c r="B77" s="112" t="inlineStr">
        <is>
          <t>申购</t>
        </is>
      </c>
      <c r="C77" s="112" t="n">
        <v>102.5</v>
      </c>
      <c r="D77" s="112" t="n"/>
      <c r="E77" s="572">
        <f>+E76+C77-D77</f>
        <v/>
      </c>
    </row>
    <row r="78">
      <c r="A78" s="156" t="n"/>
      <c r="B78" s="112" t="n"/>
      <c r="C78" s="112" t="n"/>
      <c r="D78" s="112" t="n"/>
      <c r="E78" s="572">
        <f>+E77+C78-D78</f>
        <v/>
      </c>
    </row>
    <row r="79">
      <c r="A79" s="156" t="n">
        <v>46160</v>
      </c>
      <c r="B79" s="112" t="inlineStr">
        <is>
          <t>工鑫38次</t>
        </is>
      </c>
      <c r="C79" s="112" t="n"/>
      <c r="D79" s="112" t="n">
        <v>88.88</v>
      </c>
      <c r="E79" s="572">
        <f>+E78+C79-D79</f>
        <v/>
      </c>
      <c r="F79" s="562" t="inlineStr">
        <is>
          <t>3、方向：西藏君集1号to【元康盛景1号】
交易日期：2026年5月18日
债券代码：265651.SH
债券简称：工鑫38次
交易全价：105.805元/百元面值
数量：84万面值（8400张，840手）
卖方：西藏信托君集1号集合资金信托计划
卖方询价QQ：2850981264钟振涛
卖方交易员代码：Z07119
买方：【元康盛景1号】
买方询价QQ：【刘靖涛qt3003993899】
买方交易员代码：【Z11825】
约定号：【333】</t>
        </is>
      </c>
    </row>
    <row r="80">
      <c r="A80" s="156" t="n"/>
      <c r="B80" s="112" t="n"/>
      <c r="C80" s="112" t="n"/>
      <c r="D80" s="112" t="n"/>
      <c r="E80" s="572">
        <f>+E79+C80-D80</f>
        <v/>
      </c>
      <c r="F80" s="562" t="n"/>
    </row>
    <row r="81">
      <c r="B81" s="112" t="n"/>
      <c r="C81" s="112" t="n"/>
      <c r="D81" s="112" t="n"/>
      <c r="E81" s="563">
        <f>+E80+C81-D81</f>
        <v/>
      </c>
    </row>
    <row r="82">
      <c r="B82" s="112" t="n"/>
      <c r="C82" s="112" t="n"/>
      <c r="D82" s="112" t="n"/>
      <c r="E82" s="563">
        <f>+E81+C82-D82</f>
        <v/>
      </c>
    </row>
    <row r="83">
      <c r="A83" s="4" t="n">
        <v>46162</v>
      </c>
      <c r="B83" s="112" t="inlineStr">
        <is>
          <t>工鑫38次</t>
        </is>
      </c>
      <c r="C83" s="112" t="n">
        <v>88.88</v>
      </c>
      <c r="D83" s="112" t="n"/>
      <c r="E83" s="563">
        <f>+E82+C83-D83</f>
        <v/>
      </c>
    </row>
    <row r="84">
      <c r="B84" s="112" t="n"/>
      <c r="C84" s="112" t="n"/>
      <c r="D84" s="112" t="n"/>
      <c r="E84" s="563">
        <f>+E83+C84-D84</f>
        <v/>
      </c>
    </row>
    <row r="85">
      <c r="A85" s="4" t="n">
        <v>46163</v>
      </c>
      <c r="B85" s="112" t="inlineStr">
        <is>
          <t>场外期权保证金提取</t>
        </is>
      </c>
      <c r="C85" s="0" t="n">
        <v>252</v>
      </c>
      <c r="E85" s="563">
        <f>+E84+C85-D85</f>
        <v/>
      </c>
    </row>
    <row r="86">
      <c r="B86" s="112" t="n"/>
      <c r="E86" s="563">
        <f>+E85+C86-D86</f>
        <v/>
      </c>
    </row>
    <row r="87">
      <c r="A87" s="4" t="n">
        <v>46164</v>
      </c>
      <c r="B87" s="112" t="inlineStr">
        <is>
          <t>申购</t>
        </is>
      </c>
      <c r="C87" s="112" t="n">
        <v>860</v>
      </c>
      <c r="E87" s="563">
        <f>+E86+C87-D87</f>
        <v/>
      </c>
    </row>
    <row r="88">
      <c r="A88" s="4" t="n">
        <v>46164</v>
      </c>
      <c r="B88" s="0" t="inlineStr">
        <is>
          <t>赎回</t>
        </is>
      </c>
      <c r="D88" s="0">
        <f>272*1.05</f>
        <v/>
      </c>
      <c r="E88" s="563">
        <f>+E87+C88-D88</f>
        <v/>
      </c>
    </row>
    <row r="89">
      <c r="B89" s="112" t="inlineStr">
        <is>
          <t>盛业回购</t>
        </is>
      </c>
      <c r="D89" s="0" t="n">
        <v>1000</v>
      </c>
      <c r="E89" s="563">
        <f>+E88+C89-D89</f>
        <v/>
      </c>
    </row>
    <row r="90">
      <c r="B90" s="112" t="n"/>
      <c r="E90" s="563">
        <f>+E89+C90-D90</f>
        <v/>
      </c>
    </row>
    <row r="91">
      <c r="A91" s="4" t="n">
        <v>46164</v>
      </c>
      <c r="B91" s="112" t="inlineStr">
        <is>
          <t>昆仑信托昆银1号</t>
        </is>
      </c>
      <c r="D91" s="0" t="n">
        <v>100</v>
      </c>
      <c r="E91" s="563">
        <f>+E90+C91-D91</f>
        <v/>
      </c>
    </row>
    <row r="92">
      <c r="B92" s="112" t="n"/>
      <c r="E92" s="563">
        <f>+E91+C92-D92</f>
        <v/>
      </c>
    </row>
    <row r="93">
      <c r="B93" s="112" t="n"/>
      <c r="E93" s="563">
        <f>+E92+C93-D93</f>
        <v/>
      </c>
    </row>
    <row r="94">
      <c r="B94" s="112" t="n"/>
      <c r="E94" s="563">
        <f>+E93+C94-D94</f>
        <v/>
      </c>
    </row>
    <row r="95">
      <c r="E95" s="563">
        <f>+E94+C95-D95</f>
        <v/>
      </c>
    </row>
    <row r="96">
      <c r="A96" s="4" t="n">
        <v>46178</v>
      </c>
      <c r="B96" s="0" t="inlineStr">
        <is>
          <t>赎回</t>
        </is>
      </c>
      <c r="D96" s="0">
        <f>107*1.05</f>
        <v/>
      </c>
      <c r="E96" s="563">
        <f>+E95+C96-D96</f>
        <v/>
      </c>
    </row>
    <row r="97">
      <c r="A97" s="4" t="n">
        <v>46185</v>
      </c>
      <c r="B97" s="0" t="inlineStr">
        <is>
          <t>赎回</t>
        </is>
      </c>
      <c r="D97" s="0">
        <f>10.7*1.05</f>
        <v/>
      </c>
      <c r="E97" s="563">
        <f>+E96+C97-D97</f>
        <v/>
      </c>
    </row>
    <row r="98">
      <c r="E98" s="563">
        <f>+E97+C98-D98</f>
        <v/>
      </c>
    </row>
    <row r="99">
      <c r="E99" s="563">
        <f>+E98+C99-D99</f>
        <v/>
      </c>
    </row>
    <row r="100">
      <c r="E100" s="563">
        <f>+E99+C100-D100</f>
        <v/>
      </c>
    </row>
    <row r="101">
      <c r="E101" s="563">
        <f>+E100+C101-D101</f>
        <v/>
      </c>
    </row>
    <row r="102">
      <c r="E102" s="563">
        <f>+E101+C102-D102</f>
        <v/>
      </c>
    </row>
    <row r="103">
      <c r="A103" s="4" t="n">
        <v>46199</v>
      </c>
      <c r="B103" s="0" t="inlineStr">
        <is>
          <t>赎回</t>
        </is>
      </c>
      <c r="D103" s="0" t="n">
        <v>2400</v>
      </c>
      <c r="E103" s="563">
        <f>+E102+C103-D103</f>
        <v/>
      </c>
    </row>
    <row r="104">
      <c r="E104" s="563">
        <f>+E103+C104-D104</f>
        <v/>
      </c>
    </row>
    <row r="105">
      <c r="E105" s="563">
        <f>+E104+C105-D105</f>
        <v/>
      </c>
    </row>
    <row r="106">
      <c r="E106" s="563">
        <f>+E105+C106-D106</f>
        <v/>
      </c>
    </row>
    <row r="107">
      <c r="E107" s="563">
        <f>+E106+C107-D107</f>
        <v/>
      </c>
    </row>
  </sheetData>
  <conditionalFormatting sqref="E1:E78 E80:E1048576">
    <cfRule type="cellIs" priority="2" operator="lessThan" dxfId="0">
      <formula>0</formula>
    </cfRule>
  </conditionalFormatting>
  <conditionalFormatting sqref="E79">
    <cfRule type="cellIs" priority="1" operator="lessThan" dxfId="0">
      <formula>0</formula>
    </cfRule>
  </conditionalFormatting>
  <pageMargins left="0.7" right="0.7" top="0.75" bottom="0.75" header="0.3" footer="0.3"/>
</worksheet>
</file>

<file path=xl/worksheets/sheet15.xml><?xml version="1.0" encoding="utf-8"?>
<worksheet xmlns="http://schemas.openxmlformats.org/spreadsheetml/2006/main">
  <sheetPr codeName="Sheet11">
    <outlinePr summaryBelow="1" summaryRight="1"/>
    <pageSetUpPr/>
  </sheetPr>
  <dimension ref="A1:F74"/>
  <sheetViews>
    <sheetView workbookViewId="0">
      <pane ySplit="2" topLeftCell="A41" activePane="bottomLeft" state="frozen"/>
      <selection pane="bottomLeft" activeCell="E1" sqref="E1:E1048576"/>
    </sheetView>
  </sheetViews>
  <sheetFormatPr baseColWidth="8" defaultRowHeight="16.5"/>
  <cols>
    <col width="10" bestFit="1" customWidth="1" style="4" min="1" max="1"/>
    <col width="13.875" customWidth="1" style="326" min="2" max="2"/>
    <col width="7.75" customWidth="1" style="326" min="3" max="4"/>
    <col width="8.75" bestFit="1" customWidth="1" style="563" min="5" max="5"/>
    <col width="12.875" bestFit="1" customWidth="1" style="326" min="7" max="7"/>
    <col width="14.625" customWidth="1" style="326" min="11" max="11"/>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v>11</v>
      </c>
    </row>
    <row r="4">
      <c r="A4" s="156" t="n"/>
      <c r="B4" s="112" t="n"/>
      <c r="C4" s="112" t="n"/>
      <c r="D4" s="112" t="n"/>
      <c r="E4" s="572">
        <f>+E3+C4-D4</f>
        <v/>
      </c>
    </row>
    <row r="5">
      <c r="A5" s="156" t="n">
        <v>46037</v>
      </c>
      <c r="B5" s="112" t="inlineStr">
        <is>
          <t>新增申购</t>
        </is>
      </c>
      <c r="C5" s="112" t="n">
        <v>200</v>
      </c>
      <c r="D5" s="112" t="n"/>
      <c r="E5" s="572">
        <f>+E4+C5-D5</f>
        <v/>
      </c>
    </row>
    <row r="6">
      <c r="A6" s="156" t="n">
        <v>46038</v>
      </c>
      <c r="B6" s="112" t="inlineStr">
        <is>
          <t>外贸元康1</t>
        </is>
      </c>
      <c r="C6" s="112" t="n"/>
      <c r="D6" s="112" t="n">
        <v>150</v>
      </c>
      <c r="E6" s="572">
        <f>+E5+C6-D6</f>
        <v/>
      </c>
    </row>
    <row r="7">
      <c r="A7" s="156" t="n"/>
      <c r="B7" s="112" t="n"/>
      <c r="C7" s="112" t="n"/>
      <c r="D7" s="112" t="n"/>
      <c r="E7" s="572">
        <f>+E6+C7-D7</f>
        <v/>
      </c>
    </row>
    <row r="8">
      <c r="A8" s="156" t="n">
        <v>46042</v>
      </c>
      <c r="B8" s="112" t="inlineStr">
        <is>
          <t>新增申购</t>
        </is>
      </c>
      <c r="C8" s="112" t="n">
        <v>100</v>
      </c>
      <c r="D8" s="112" t="n"/>
      <c r="E8" s="572">
        <f>+E7+C8-D8</f>
        <v/>
      </c>
    </row>
    <row r="9">
      <c r="A9" s="156" t="n">
        <v>46049</v>
      </c>
      <c r="B9" s="112" t="inlineStr">
        <is>
          <t>新增申购</t>
        </is>
      </c>
      <c r="C9" s="112" t="n">
        <v>233.777336</v>
      </c>
      <c r="D9" s="112" t="n"/>
      <c r="E9" s="572">
        <f>+E8+C9-D9</f>
        <v/>
      </c>
      <c r="F9" s="201" t="n"/>
    </row>
    <row r="10">
      <c r="A10" s="156" t="n">
        <v>46052</v>
      </c>
      <c r="B10" s="112" t="inlineStr">
        <is>
          <t>鹏雅119</t>
        </is>
      </c>
      <c r="C10" s="112" t="n"/>
      <c r="D10" s="112" t="n">
        <v>150</v>
      </c>
      <c r="E10" s="572">
        <f>+E9+C10-D10</f>
        <v/>
      </c>
    </row>
    <row r="11">
      <c r="E11" s="563" t="n">
        <v>245</v>
      </c>
    </row>
    <row r="12">
      <c r="A12" s="156" t="n">
        <v>46059</v>
      </c>
      <c r="B12" s="112" t="inlineStr">
        <is>
          <t>新增申购</t>
        </is>
      </c>
      <c r="C12" s="112" t="n">
        <v>995.029821</v>
      </c>
      <c r="D12" s="112" t="n"/>
      <c r="E12" s="572">
        <f>+E11+C12-D12</f>
        <v/>
      </c>
    </row>
    <row r="13">
      <c r="A13" s="156" t="n">
        <v>46059</v>
      </c>
      <c r="B13" s="112" t="inlineStr">
        <is>
          <t>朗瑞1-5期</t>
        </is>
      </c>
      <c r="C13" s="112" t="n"/>
      <c r="D13" s="112" t="n">
        <v>1100</v>
      </c>
      <c r="E13" s="572">
        <f>+E12+C13-D13</f>
        <v/>
      </c>
      <c r="F13" s="0" t="inlineStr">
        <is>
          <t>涉及新签协议</t>
        </is>
      </c>
    </row>
    <row r="14">
      <c r="A14" s="156" t="n"/>
      <c r="B14" s="112" t="n"/>
      <c r="C14" s="112" t="n"/>
      <c r="D14" s="112" t="n"/>
      <c r="E14" s="572">
        <f>+E13+C14-D14</f>
        <v/>
      </c>
    </row>
    <row r="15">
      <c r="A15" s="156" t="n"/>
      <c r="B15" s="112" t="n"/>
      <c r="C15" s="112" t="n"/>
      <c r="D15" s="112" t="n"/>
      <c r="E15" s="572">
        <f>+E14+C15-D15</f>
        <v/>
      </c>
    </row>
    <row r="16">
      <c r="A16" s="156" t="n">
        <v>46066</v>
      </c>
      <c r="B16" s="112" t="inlineStr">
        <is>
          <t>新增申购</t>
        </is>
      </c>
      <c r="C16" s="112" t="n">
        <v>447.5</v>
      </c>
      <c r="D16" s="112" t="n"/>
      <c r="E16" s="572">
        <f>+E15+C16-D16</f>
        <v/>
      </c>
    </row>
    <row r="17">
      <c r="A17" s="156" t="n">
        <v>46079</v>
      </c>
      <c r="B17" s="112" t="inlineStr">
        <is>
          <t>联储赎回</t>
        </is>
      </c>
      <c r="C17" s="112" t="n"/>
      <c r="D17" s="112" t="n">
        <v>132.254524</v>
      </c>
      <c r="E17" s="572">
        <f>+E16+C17-D17</f>
        <v/>
      </c>
    </row>
    <row r="18">
      <c r="A18" s="156" t="n">
        <v>46080</v>
      </c>
      <c r="B18" s="112" t="inlineStr">
        <is>
          <t>朗瑞1-5申购</t>
        </is>
      </c>
      <c r="C18" s="112" t="n"/>
      <c r="D18" s="112" t="n">
        <v>200</v>
      </c>
      <c r="E18" s="572">
        <f>+E17+C18-D18</f>
        <v/>
      </c>
    </row>
    <row r="19">
      <c r="A19" s="156" t="n">
        <v>46085</v>
      </c>
      <c r="B19" s="112" t="inlineStr">
        <is>
          <t>外贸元康盛景1号赎回</t>
        </is>
      </c>
      <c r="C19" s="112" t="n">
        <v>749.59885</v>
      </c>
      <c r="D19" s="112" t="n"/>
      <c r="E19" s="572">
        <f>+E18+C19-D19</f>
        <v/>
      </c>
    </row>
    <row r="20">
      <c r="A20" s="156" t="n"/>
      <c r="B20" s="112" t="n"/>
      <c r="C20" s="112" t="n"/>
      <c r="D20" s="112" t="n"/>
      <c r="E20" s="572">
        <f>+E19+C20-D20</f>
        <v/>
      </c>
    </row>
    <row r="21">
      <c r="A21" s="156" t="n">
        <v>46087</v>
      </c>
      <c r="B21" s="112" t="inlineStr">
        <is>
          <t>赎回</t>
        </is>
      </c>
      <c r="C21" s="112" t="n"/>
      <c r="D21" s="112" t="n">
        <v>102.3732</v>
      </c>
      <c r="E21" s="572">
        <f>+E20+C21-D21</f>
        <v/>
      </c>
    </row>
    <row r="22">
      <c r="A22" s="156" t="n"/>
      <c r="B22" s="112" t="n"/>
      <c r="C22" s="112" t="n"/>
      <c r="D22" s="112" t="n"/>
      <c r="E22" s="572">
        <f>+E21+C22-D22</f>
        <v/>
      </c>
    </row>
    <row r="23">
      <c r="A23" s="156" t="n"/>
      <c r="B23" s="112" t="n"/>
      <c r="C23" s="112" t="n"/>
      <c r="D23" s="112" t="n"/>
      <c r="E23" s="572">
        <f>+E22+C23-D23</f>
        <v/>
      </c>
    </row>
    <row r="24">
      <c r="A24" s="156" t="n">
        <v>46090</v>
      </c>
      <c r="B24" s="112" t="inlineStr">
        <is>
          <t>朗瑞1-7</t>
        </is>
      </c>
      <c r="C24" s="112" t="n"/>
      <c r="D24" s="112" t="n">
        <v>850</v>
      </c>
      <c r="E24" s="572">
        <f>+E23+C24-D24</f>
        <v/>
      </c>
    </row>
    <row r="25">
      <c r="A25" s="156" t="n">
        <v>46093</v>
      </c>
      <c r="B25" s="112" t="inlineStr">
        <is>
          <t>申购</t>
        </is>
      </c>
      <c r="C25" s="112" t="n">
        <v>100</v>
      </c>
      <c r="D25" s="112" t="n"/>
      <c r="E25" s="572">
        <f>+E24+C25-D25</f>
        <v/>
      </c>
    </row>
    <row r="26">
      <c r="A26" s="156" t="n">
        <v>46098</v>
      </c>
      <c r="B26" s="112" t="inlineStr">
        <is>
          <t>赎回外贸1</t>
        </is>
      </c>
      <c r="C26" s="112" t="n">
        <v>1600.452</v>
      </c>
      <c r="D26" s="112" t="n"/>
      <c r="E26" s="572">
        <f>+E25+C26-D26</f>
        <v/>
      </c>
    </row>
    <row r="27">
      <c r="A27" s="156" t="n"/>
      <c r="B27" s="112" t="n"/>
      <c r="C27" s="112" t="n"/>
      <c r="D27" s="112" t="n"/>
      <c r="E27" s="572">
        <f>+E26+C27-D27</f>
        <v/>
      </c>
    </row>
    <row r="28">
      <c r="A28" s="156" t="n">
        <v>46100</v>
      </c>
      <c r="B28" s="112" t="inlineStr">
        <is>
          <t>朗瑞1-7</t>
        </is>
      </c>
      <c r="C28" s="112" t="n"/>
      <c r="D28" s="112" t="n">
        <v>300</v>
      </c>
      <c r="E28" s="572">
        <f>+E27+C28-D28</f>
        <v/>
      </c>
    </row>
    <row r="29">
      <c r="A29" s="156" t="n"/>
      <c r="B29" s="112" t="n"/>
      <c r="C29" s="112" t="n"/>
      <c r="D29" s="112" t="n"/>
      <c r="E29" s="572">
        <f>+E28+C29-D29</f>
        <v/>
      </c>
    </row>
    <row r="30">
      <c r="A30" s="156" t="n">
        <v>46104</v>
      </c>
      <c r="B30" s="112" t="inlineStr">
        <is>
          <t>鹏雅119</t>
        </is>
      </c>
      <c r="C30" s="112" t="n"/>
      <c r="D30" s="112" t="n">
        <v>1000</v>
      </c>
      <c r="E30" s="572">
        <f>+E29+C30-D30</f>
        <v/>
      </c>
    </row>
    <row r="31">
      <c r="A31" s="156" t="n">
        <v>46108</v>
      </c>
      <c r="B31" s="112" t="inlineStr">
        <is>
          <t>赎回</t>
        </is>
      </c>
      <c r="C31" s="112" t="n"/>
      <c r="D31" s="112" t="n">
        <v>255.3</v>
      </c>
      <c r="E31" s="572">
        <f>+E30+C31-D31</f>
        <v/>
      </c>
    </row>
    <row r="32">
      <c r="A32" s="156" t="n">
        <v>46112</v>
      </c>
      <c r="B32" s="112" t="inlineStr">
        <is>
          <t>元康盛景1号外贸赎回</t>
        </is>
      </c>
      <c r="C32" s="112" t="n">
        <v>650.7086399999999</v>
      </c>
      <c r="D32" s="112" t="n"/>
      <c r="E32" s="572">
        <f>+E31+C32-D32</f>
        <v/>
      </c>
    </row>
    <row r="33">
      <c r="A33" s="156" t="n">
        <v>46115</v>
      </c>
      <c r="B33" s="112" t="inlineStr">
        <is>
          <t>管理费</t>
        </is>
      </c>
      <c r="C33" s="112" t="n"/>
      <c r="D33" s="638">
        <f>13.339862+0.166746+0.166746</f>
        <v/>
      </c>
      <c r="E33" s="572">
        <f>+E32+C33-D33</f>
        <v/>
      </c>
    </row>
    <row r="34">
      <c r="A34" s="156" t="n">
        <v>46119</v>
      </c>
      <c r="B34" s="112" t="inlineStr">
        <is>
          <t>赎回</t>
        </is>
      </c>
      <c r="C34" s="112" t="n"/>
      <c r="D34" s="112" t="n">
        <v>663.480124</v>
      </c>
      <c r="E34" s="572">
        <f>+E33+C34-D34</f>
        <v/>
      </c>
    </row>
    <row r="35">
      <c r="A35" s="156" t="n"/>
      <c r="B35" s="112" t="n"/>
      <c r="C35" s="112" t="n"/>
      <c r="D35" s="112" t="n"/>
      <c r="E35" s="572">
        <f>+E34+C35-D35</f>
        <v/>
      </c>
    </row>
    <row r="36">
      <c r="A36" s="156" t="n"/>
      <c r="B36" s="112" t="n"/>
      <c r="C36" s="112" t="n"/>
      <c r="D36" s="112" t="n"/>
      <c r="E36" s="572">
        <f>+E35+C36-D36</f>
        <v/>
      </c>
    </row>
    <row r="37">
      <c r="A37" s="156" t="n"/>
      <c r="B37" s="112" t="n"/>
      <c r="C37" s="112" t="n"/>
      <c r="D37" s="112" t="n"/>
      <c r="E37" s="572">
        <f>+E36+C37-D37</f>
        <v/>
      </c>
    </row>
    <row r="38">
      <c r="A38" s="156" t="n">
        <v>46122</v>
      </c>
      <c r="B38" s="112" t="inlineStr">
        <is>
          <t>赎回</t>
        </is>
      </c>
      <c r="C38" s="112" t="n"/>
      <c r="D38" s="112">
        <f>144*1.0672</f>
        <v/>
      </c>
      <c r="E38" s="572">
        <f>+E37+C38-D38</f>
        <v/>
      </c>
    </row>
    <row r="39">
      <c r="A39" s="156" t="n"/>
      <c r="B39" s="112" t="n"/>
      <c r="C39" s="112" t="n"/>
      <c r="D39" s="112" t="n"/>
      <c r="E39" s="572">
        <f>+E38+C39-D39</f>
        <v/>
      </c>
    </row>
    <row r="40">
      <c r="A40" s="156" t="n"/>
      <c r="B40" s="112" t="n"/>
      <c r="C40" s="112" t="n"/>
      <c r="D40" s="112" t="n"/>
      <c r="E40" s="572">
        <f>+E39+C40-D40</f>
        <v/>
      </c>
    </row>
    <row r="41">
      <c r="A41" s="156" t="n"/>
      <c r="B41" s="112" t="n"/>
      <c r="C41" s="112" t="n"/>
      <c r="D41" s="112" t="n"/>
      <c r="E41" s="572">
        <f>+E40+C41-D41</f>
        <v/>
      </c>
    </row>
    <row r="42">
      <c r="A42" s="156" t="n"/>
      <c r="B42" s="112" t="n"/>
      <c r="C42" s="112" t="n"/>
      <c r="D42" s="112" t="n"/>
      <c r="E42" s="572">
        <f>+E41+C42-D42</f>
        <v/>
      </c>
    </row>
    <row r="43">
      <c r="A43" s="156" t="n">
        <v>46134</v>
      </c>
      <c r="B43" s="112" t="inlineStr">
        <is>
          <t>外贸-元康1号赎回</t>
        </is>
      </c>
      <c r="C43" s="112" t="n">
        <v>521.1775</v>
      </c>
      <c r="D43" s="112" t="n"/>
      <c r="E43" s="572">
        <f>+E42+C43-D43</f>
        <v/>
      </c>
      <c r="F43" s="562" t="inlineStr">
        <is>
          <t>已发</t>
        </is>
      </c>
    </row>
    <row r="44">
      <c r="A44" s="156" t="n"/>
      <c r="B44" s="112" t="n"/>
      <c r="C44" s="112" t="n"/>
      <c r="D44" s="112" t="n"/>
      <c r="E44" s="572">
        <f>+E43+C44-D44</f>
        <v/>
      </c>
    </row>
    <row r="45">
      <c r="A45" s="156" t="n">
        <v>46136</v>
      </c>
      <c r="B45" s="112" t="inlineStr">
        <is>
          <t>联储申购</t>
        </is>
      </c>
      <c r="C45" s="112" t="n">
        <v>204.37</v>
      </c>
      <c r="D45" s="112" t="n"/>
      <c r="E45" s="572">
        <f>+E44+C45-D45</f>
        <v/>
      </c>
    </row>
    <row r="46">
      <c r="A46" s="156" t="n"/>
      <c r="B46" s="112" t="n"/>
      <c r="C46" s="112" t="n"/>
      <c r="D46" s="112" t="n"/>
      <c r="E46" s="572">
        <f>+E45+C46-D46</f>
        <v/>
      </c>
    </row>
    <row r="47">
      <c r="A47" s="156" t="n">
        <v>46140</v>
      </c>
      <c r="B47" s="112" t="inlineStr">
        <is>
          <t>外贸-元康1号赎回</t>
        </is>
      </c>
      <c r="C47" s="112" t="n">
        <v>1100</v>
      </c>
      <c r="D47" s="112" t="n"/>
      <c r="E47" s="572">
        <f>+E46+C47-D47</f>
        <v/>
      </c>
      <c r="F47" s="562" t="inlineStr">
        <is>
          <t>已发</t>
        </is>
      </c>
    </row>
    <row r="48">
      <c r="A48" s="156" t="n">
        <v>46140</v>
      </c>
      <c r="B48" s="112" t="inlineStr">
        <is>
          <t>新疆国信</t>
        </is>
      </c>
      <c r="C48" s="112" t="n"/>
      <c r="D48" s="112" t="n">
        <v>900</v>
      </c>
      <c r="E48" s="572">
        <f>+E47+C48-D48</f>
        <v/>
      </c>
      <c r="F48" s="562" t="inlineStr">
        <is>
          <t>4/28, 新疆国信[266682.SH] ，900w，全价100，协鑫 to 元康盛景9号</t>
        </is>
      </c>
    </row>
    <row r="49">
      <c r="A49" s="156" t="n">
        <v>46141</v>
      </c>
      <c r="B49" s="112" t="inlineStr">
        <is>
          <t>元康28号</t>
        </is>
      </c>
      <c r="C49" s="112" t="n"/>
      <c r="D49" s="112" t="n">
        <v>900</v>
      </c>
      <c r="E49" s="572">
        <f>+E48+C49-D49</f>
        <v/>
      </c>
      <c r="F49" s="562" t="inlineStr">
        <is>
          <t>4/28发出</t>
        </is>
      </c>
    </row>
    <row r="50">
      <c r="A50" s="156" t="n"/>
      <c r="B50" s="112" t="n"/>
      <c r="C50" s="112" t="n"/>
      <c r="D50" s="112" t="n"/>
      <c r="E50" s="572">
        <f>+E49+C50-D50</f>
        <v/>
      </c>
    </row>
    <row r="51">
      <c r="A51" s="156" t="n">
        <v>46142</v>
      </c>
      <c r="B51" s="112" t="inlineStr">
        <is>
          <t>新疆国信分配</t>
        </is>
      </c>
      <c r="C51" s="112" t="n">
        <v>16.488</v>
      </c>
      <c r="D51" s="112" t="n"/>
      <c r="E51" s="572">
        <f>+E50+C51-D51</f>
        <v/>
      </c>
    </row>
    <row r="52">
      <c r="A52" s="156" t="n"/>
      <c r="B52" s="112" t="n"/>
      <c r="C52" s="112" t="n"/>
      <c r="D52" s="112" t="n"/>
      <c r="E52" s="572">
        <f>+E51+C52-D52</f>
        <v/>
      </c>
      <c r="F52" s="324" t="n"/>
    </row>
    <row r="53">
      <c r="A53" s="156" t="n">
        <v>46150</v>
      </c>
      <c r="B53" s="112" t="inlineStr">
        <is>
          <t>朗瑞1号5期赎回</t>
        </is>
      </c>
      <c r="C53" s="112" t="n">
        <v>1200</v>
      </c>
      <c r="D53" s="112" t="n"/>
      <c r="E53" s="572">
        <f>+E52+C53-D53</f>
        <v/>
      </c>
      <c r="F53" s="473" t="inlineStr">
        <is>
          <t>4/30发出</t>
        </is>
      </c>
    </row>
    <row r="54">
      <c r="A54" s="156" t="n"/>
      <c r="B54" s="112" t="n"/>
      <c r="C54" s="112" t="n"/>
      <c r="D54" s="112" t="n"/>
      <c r="E54" s="572">
        <f>+E53+C54-D54</f>
        <v/>
      </c>
    </row>
    <row r="55">
      <c r="A55" s="156" t="n"/>
      <c r="B55" s="112" t="n"/>
      <c r="C55" s="112" t="n"/>
      <c r="D55" s="112" t="n"/>
      <c r="E55" s="572">
        <f>+E54+C55-D55</f>
        <v/>
      </c>
    </row>
    <row r="56">
      <c r="A56" s="156" t="n"/>
      <c r="B56" s="112" t="n"/>
      <c r="C56" s="112" t="n"/>
      <c r="D56" s="112" t="n"/>
      <c r="E56" s="572">
        <f>+E55+C56-D56</f>
        <v/>
      </c>
    </row>
    <row r="57">
      <c r="A57" s="156" t="n">
        <v>46150</v>
      </c>
      <c r="B57" s="112" t="inlineStr">
        <is>
          <t>联储赎回</t>
        </is>
      </c>
      <c r="C57" s="112" t="n"/>
      <c r="D57" s="112">
        <f>393.665382+0.503306</f>
        <v/>
      </c>
      <c r="E57" s="572">
        <f>+E56+C57-D57</f>
        <v/>
      </c>
    </row>
    <row r="58">
      <c r="A58" s="156" t="n"/>
      <c r="B58" s="112" t="n"/>
      <c r="C58" s="112" t="n"/>
      <c r="D58" s="112" t="n"/>
      <c r="E58" s="572">
        <f>+E57+C58-D58</f>
        <v/>
      </c>
    </row>
    <row r="59">
      <c r="A59" s="156" t="n"/>
      <c r="B59" s="112" t="n"/>
      <c r="C59" s="112" t="n"/>
      <c r="D59" s="112" t="n"/>
      <c r="E59" s="572">
        <f>+E58+C59-D59</f>
        <v/>
      </c>
    </row>
    <row r="60">
      <c r="A60" s="156" t="n">
        <v>46155</v>
      </c>
      <c r="B60" s="112" t="inlineStr">
        <is>
          <t>元康31号</t>
        </is>
      </c>
      <c r="C60" s="112" t="n"/>
      <c r="D60" s="112" t="n">
        <v>500</v>
      </c>
      <c r="E60" s="572">
        <f>+E59+C60-D60</f>
        <v/>
      </c>
      <c r="F60" s="562" t="inlineStr">
        <is>
          <t>已发</t>
        </is>
      </c>
    </row>
    <row r="61">
      <c r="A61" s="156" t="n">
        <v>46157</v>
      </c>
      <c r="B61" s="112" t="inlineStr">
        <is>
          <t>申购</t>
        </is>
      </c>
      <c r="C61" s="112" t="n">
        <v>200</v>
      </c>
      <c r="D61" s="112" t="n"/>
      <c r="E61" s="572">
        <f>+E60+C61-D61</f>
        <v/>
      </c>
    </row>
    <row r="62">
      <c r="E62" s="563">
        <f>+E61+C62-D62</f>
        <v/>
      </c>
    </row>
    <row r="63">
      <c r="E63" s="563">
        <f>+E62+C63-D63</f>
        <v/>
      </c>
    </row>
    <row r="64">
      <c r="E64" s="563">
        <f>+E63+C64-D64</f>
        <v/>
      </c>
    </row>
    <row r="65">
      <c r="A65" s="4" t="n">
        <v>46163</v>
      </c>
      <c r="B65" s="0" t="inlineStr">
        <is>
          <t>联储赎回</t>
        </is>
      </c>
      <c r="D65" s="0">
        <f>383.2*1.08</f>
        <v/>
      </c>
      <c r="E65" s="563">
        <f>+E64+C65-D65</f>
        <v/>
      </c>
    </row>
    <row r="66">
      <c r="B66" s="112" t="n"/>
      <c r="E66" s="563">
        <f>+E65+C66-D66</f>
        <v/>
      </c>
    </row>
    <row r="67">
      <c r="E67" s="563">
        <f>+E66+C67-D67</f>
        <v/>
      </c>
    </row>
    <row r="68">
      <c r="A68" s="4" t="n">
        <v>46168</v>
      </c>
      <c r="B68" s="0" t="inlineStr">
        <is>
          <t>朗瑞1号7期赎回</t>
        </is>
      </c>
      <c r="C68" s="0" t="n">
        <v>500</v>
      </c>
      <c r="E68" s="563">
        <f>+E67+C68-D68</f>
        <v/>
      </c>
    </row>
    <row r="69">
      <c r="E69" s="563">
        <f>+E68+C69-D69</f>
        <v/>
      </c>
    </row>
    <row r="70">
      <c r="A70" s="4" t="n">
        <v>46170</v>
      </c>
      <c r="B70" s="0" t="inlineStr">
        <is>
          <t>联储赎回</t>
        </is>
      </c>
      <c r="D70" s="0">
        <f>590*1.08</f>
        <v/>
      </c>
      <c r="E70" s="563">
        <f>+E69+C70-D70</f>
        <v/>
      </c>
    </row>
    <row r="71">
      <c r="E71" s="563">
        <f>+E70+C71-D71</f>
        <v/>
      </c>
    </row>
    <row r="72">
      <c r="E72" s="563">
        <f>+E71+C72-D72</f>
        <v/>
      </c>
    </row>
    <row r="73">
      <c r="E73" s="563">
        <f>+E72+C73-D73</f>
        <v/>
      </c>
    </row>
    <row r="74">
      <c r="E74" s="563">
        <f>+E73+C74-D74</f>
        <v/>
      </c>
    </row>
  </sheetData>
  <conditionalFormatting sqref="E1:E1048576">
    <cfRule type="cellIs" priority="1" operator="lessThan" dxfId="0">
      <formula>0</formula>
    </cfRule>
  </conditionalFormatting>
  <pageMargins left="0.7" right="0.7" top="0.75" bottom="0.75" header="0.3" footer="0.3"/>
</worksheet>
</file>

<file path=xl/worksheets/sheet16.xml><?xml version="1.0" encoding="utf-8"?>
<worksheet xmlns="http://schemas.openxmlformats.org/spreadsheetml/2006/main">
  <sheetPr codeName="Sheet12">
    <outlinePr summaryBelow="1" summaryRight="1"/>
    <pageSetUpPr/>
  </sheetPr>
  <dimension ref="A1:F112"/>
  <sheetViews>
    <sheetView zoomScaleNormal="100" workbookViewId="0">
      <pane ySplit="2" topLeftCell="A90" activePane="bottomLeft" state="frozen"/>
      <selection pane="bottomLeft" activeCell="E1" sqref="E1:E1048576"/>
    </sheetView>
  </sheetViews>
  <sheetFormatPr baseColWidth="8" defaultRowHeight="16.5"/>
  <cols>
    <col width="10" bestFit="1" customWidth="1" style="4" min="1" max="1"/>
    <col width="23.125" customWidth="1" style="326" min="2" max="2"/>
    <col width="7.75" customWidth="1" style="326" min="3" max="4"/>
    <col width="8.75" bestFit="1" customWidth="1" style="563" min="5" max="5"/>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v>277.92</v>
      </c>
    </row>
    <row r="4">
      <c r="A4" s="110" t="n">
        <v>45662</v>
      </c>
      <c r="B4" s="159" t="inlineStr">
        <is>
          <t>兑付赎回</t>
        </is>
      </c>
      <c r="C4" s="112" t="n"/>
      <c r="D4" s="160" t="n">
        <v>256</v>
      </c>
      <c r="E4" s="578">
        <f>E3+C4-D4</f>
        <v/>
      </c>
    </row>
    <row r="5">
      <c r="A5" s="110" t="n"/>
      <c r="B5" s="159" t="n"/>
      <c r="C5" s="112" t="n"/>
      <c r="D5" s="112" t="n"/>
      <c r="E5" s="578">
        <f>E4+C5-D5</f>
        <v/>
      </c>
    </row>
    <row r="6">
      <c r="A6" s="110" t="n">
        <v>46029</v>
      </c>
      <c r="B6" s="159" t="inlineStr">
        <is>
          <t>新增申购</t>
        </is>
      </c>
      <c r="C6" s="112" t="n">
        <v>112</v>
      </c>
      <c r="D6" s="112" t="n"/>
      <c r="E6" s="578">
        <f>E5+C6-D6</f>
        <v/>
      </c>
    </row>
    <row r="7">
      <c r="A7" s="110" t="n">
        <v>46031</v>
      </c>
      <c r="B7" s="171" t="inlineStr">
        <is>
          <t>新增申购</t>
        </is>
      </c>
      <c r="C7" s="112" t="n">
        <v>223</v>
      </c>
      <c r="D7" s="112" t="n"/>
      <c r="E7" s="578">
        <f>E6+C7-D7</f>
        <v/>
      </c>
    </row>
    <row r="8">
      <c r="A8" s="110" t="n">
        <v>46031</v>
      </c>
      <c r="B8" s="171" t="inlineStr">
        <is>
          <t>申购朗瑞1-5</t>
        </is>
      </c>
      <c r="C8" s="112" t="n"/>
      <c r="D8" s="112" t="n">
        <v>350</v>
      </c>
      <c r="E8" s="578">
        <f>E7+C8-D8</f>
        <v/>
      </c>
    </row>
    <row r="9">
      <c r="A9" s="110" t="n"/>
      <c r="B9" s="112" t="n"/>
      <c r="C9" s="112" t="n"/>
      <c r="D9" s="112" t="n"/>
      <c r="E9" s="578" t="n">
        <v>5.8</v>
      </c>
    </row>
    <row r="10">
      <c r="A10" s="110" t="n">
        <v>46038</v>
      </c>
      <c r="B10" s="115" t="inlineStr">
        <is>
          <t>雪球申购</t>
        </is>
      </c>
      <c r="C10" s="112" t="n">
        <v>10</v>
      </c>
      <c r="D10" s="112" t="n"/>
      <c r="E10" s="578">
        <f>E9+C10-D10</f>
        <v/>
      </c>
    </row>
    <row r="11">
      <c r="A11" s="110" t="n">
        <v>46042</v>
      </c>
      <c r="B11" s="159" t="inlineStr">
        <is>
          <t>赎回元康1</t>
        </is>
      </c>
      <c r="C11" s="112" t="n">
        <v>350</v>
      </c>
      <c r="D11" s="112" t="n"/>
      <c r="E11" s="578">
        <f>E10+C11-D11</f>
        <v/>
      </c>
      <c r="F11" s="0" t="inlineStr">
        <is>
          <t>1-16发起</t>
        </is>
      </c>
    </row>
    <row r="12">
      <c r="A12" s="110" t="n">
        <v>46045</v>
      </c>
      <c r="B12" s="159" t="inlineStr">
        <is>
          <t>雪球申购</t>
        </is>
      </c>
      <c r="C12" s="112" t="n">
        <v>152</v>
      </c>
      <c r="D12" s="112" t="n"/>
      <c r="E12" s="578">
        <f>E11+C12-D12</f>
        <v/>
      </c>
    </row>
    <row r="13">
      <c r="A13" s="110" t="n">
        <v>46048</v>
      </c>
      <c r="B13" s="171" t="inlineStr">
        <is>
          <t>兑付赎回</t>
        </is>
      </c>
      <c r="C13" s="112" t="n"/>
      <c r="D13" s="112" t="n">
        <v>188</v>
      </c>
      <c r="E13" s="578">
        <f>E12+C13-D13</f>
        <v/>
      </c>
    </row>
    <row r="14">
      <c r="A14" s="112" t="n"/>
      <c r="B14" s="112" t="n"/>
      <c r="C14" s="112" t="n"/>
      <c r="D14" s="112" t="n"/>
      <c r="E14" s="578">
        <f>E13+C14-D14</f>
        <v/>
      </c>
      <c r="F14" s="0" t="inlineStr">
        <is>
          <t> </t>
        </is>
      </c>
    </row>
    <row r="15">
      <c r="A15" s="110" t="n">
        <v>46052</v>
      </c>
      <c r="B15" s="112" t="inlineStr">
        <is>
          <t>雪球申购</t>
        </is>
      </c>
      <c r="C15" s="112" t="n">
        <v>126</v>
      </c>
      <c r="D15" s="112" t="n"/>
      <c r="E15" s="578">
        <f>E14+C15-D15</f>
        <v/>
      </c>
    </row>
    <row r="16">
      <c r="A16" s="110" t="n">
        <v>46055</v>
      </c>
      <c r="B16" s="112" t="inlineStr">
        <is>
          <t>朗瑞1-5</t>
        </is>
      </c>
      <c r="C16" s="112" t="n"/>
      <c r="D16" s="112" t="n">
        <v>100</v>
      </c>
      <c r="E16" s="578">
        <f>E15+C16-D16</f>
        <v/>
      </c>
    </row>
    <row r="17">
      <c r="A17" s="110" t="n">
        <v>46056</v>
      </c>
      <c r="B17" s="251" t="inlineStr">
        <is>
          <t>兑付赎回</t>
        </is>
      </c>
      <c r="C17" s="112" t="n"/>
      <c r="D17" s="112" t="n">
        <v>99</v>
      </c>
      <c r="E17" s="578">
        <f>E16+C17-D17</f>
        <v/>
      </c>
    </row>
    <row r="18">
      <c r="A18" s="156" t="n"/>
      <c r="B18" s="112" t="n"/>
      <c r="C18" s="112" t="n"/>
      <c r="D18" s="112" t="n"/>
      <c r="E18" s="572">
        <f>+E17+C18-D18</f>
        <v/>
      </c>
    </row>
    <row r="19">
      <c r="A19" s="156" t="n">
        <v>46059</v>
      </c>
      <c r="B19" s="112" t="inlineStr">
        <is>
          <t>雪球申购</t>
        </is>
      </c>
      <c r="C19" s="112" t="n">
        <v>161</v>
      </c>
      <c r="D19" s="112" t="n"/>
      <c r="E19" s="572">
        <f>+E18+C19-D19</f>
        <v/>
      </c>
    </row>
    <row r="20">
      <c r="A20" s="156" t="n">
        <v>46059</v>
      </c>
      <c r="B20" s="112" t="inlineStr">
        <is>
          <t>朗瑞1-5</t>
        </is>
      </c>
      <c r="C20" s="112" t="n"/>
      <c r="D20" s="112" t="n">
        <v>200</v>
      </c>
      <c r="E20" s="572">
        <f>+E19+C20-D20</f>
        <v/>
      </c>
    </row>
    <row r="21">
      <c r="A21" s="156" t="n"/>
      <c r="B21" s="112" t="n"/>
      <c r="C21" s="112" t="n"/>
      <c r="D21" s="112" t="n"/>
      <c r="E21" s="572" t="n">
        <v>214</v>
      </c>
    </row>
    <row r="22">
      <c r="A22" s="156" t="n">
        <v>46066</v>
      </c>
      <c r="B22" s="251" t="inlineStr">
        <is>
          <t>兑付赎回</t>
        </is>
      </c>
      <c r="C22" s="112" t="n"/>
      <c r="D22" s="112" t="n">
        <v>105</v>
      </c>
      <c r="E22" s="572">
        <f>+E21+C22-D22</f>
        <v/>
      </c>
    </row>
    <row r="23">
      <c r="A23" s="156" t="n">
        <v>46077</v>
      </c>
      <c r="B23" s="112" t="inlineStr">
        <is>
          <t>雪球申购</t>
        </is>
      </c>
      <c r="C23" s="112" t="n">
        <v>323</v>
      </c>
      <c r="D23" s="112" t="n"/>
      <c r="E23" s="572">
        <f>+E22+C23-D23</f>
        <v/>
      </c>
    </row>
    <row r="24">
      <c r="A24" s="156" t="n"/>
      <c r="B24" s="112" t="n"/>
      <c r="C24" s="112" t="n"/>
      <c r="D24" s="112" t="n"/>
      <c r="E24" s="572">
        <f>+E23+C24-D24</f>
        <v/>
      </c>
    </row>
    <row r="25">
      <c r="A25" s="156" t="n">
        <v>46080</v>
      </c>
      <c r="B25" s="112" t="inlineStr">
        <is>
          <t>兑付赎回</t>
        </is>
      </c>
      <c r="C25" s="112" t="n"/>
      <c r="D25" s="112">
        <f>71.28*1.517</f>
        <v/>
      </c>
      <c r="E25" s="572">
        <f>+E24+C25-D25</f>
        <v/>
      </c>
    </row>
    <row r="26">
      <c r="A26" s="156" t="n"/>
      <c r="B26" s="112" t="n"/>
      <c r="C26" s="112" t="n"/>
      <c r="D26" s="112" t="n"/>
      <c r="E26" s="572">
        <f>+E25+C26-D26</f>
        <v/>
      </c>
    </row>
    <row r="27">
      <c r="A27" s="156" t="n">
        <v>46085</v>
      </c>
      <c r="B27" s="112" t="inlineStr">
        <is>
          <t>支付费用</t>
        </is>
      </c>
      <c r="C27" s="112" t="n"/>
      <c r="D27" s="112" t="n">
        <v>2</v>
      </c>
      <c r="E27" s="572">
        <f>+E26+C27-D27</f>
        <v/>
      </c>
    </row>
    <row r="28">
      <c r="A28" s="156" t="n">
        <v>46085</v>
      </c>
      <c r="B28" s="112" t="inlineStr">
        <is>
          <t>外贸元康盛景1号赎回</t>
        </is>
      </c>
      <c r="C28" s="112" t="n">
        <v>200</v>
      </c>
      <c r="D28" s="112" t="n"/>
      <c r="E28" s="572">
        <f>+E27+C28-D28</f>
        <v/>
      </c>
    </row>
    <row r="29">
      <c r="A29" s="156" t="n">
        <v>46090</v>
      </c>
      <c r="B29" s="112" t="inlineStr">
        <is>
          <t>新增申购</t>
        </is>
      </c>
      <c r="C29" s="112" t="n">
        <v>598</v>
      </c>
      <c r="D29" s="112" t="n"/>
      <c r="E29" s="572">
        <f>+E28+C29-D29</f>
        <v/>
      </c>
    </row>
    <row r="30">
      <c r="A30" s="156" t="n">
        <v>46090</v>
      </c>
      <c r="B30" s="112" t="inlineStr">
        <is>
          <t>兑付赎回</t>
        </is>
      </c>
      <c r="C30" s="112" t="n"/>
      <c r="D30" s="112" t="n">
        <v>259.56</v>
      </c>
      <c r="E30" s="572">
        <f>+E29+C30-D30</f>
        <v/>
      </c>
    </row>
    <row r="31">
      <c r="A31" s="156" t="n"/>
      <c r="B31" s="112" t="n"/>
      <c r="C31" s="112" t="n"/>
      <c r="D31" s="112" t="n"/>
      <c r="E31" s="572">
        <f>+E30+C31-D31</f>
        <v/>
      </c>
    </row>
    <row r="32">
      <c r="A32" s="156" t="n"/>
      <c r="B32" s="112" t="n"/>
      <c r="C32" s="112" t="n"/>
      <c r="D32" s="112" t="n"/>
      <c r="E32" s="572">
        <f>+E31+C32-D32</f>
        <v/>
      </c>
    </row>
    <row r="33">
      <c r="A33" s="156" t="n">
        <v>46090</v>
      </c>
      <c r="B33" s="112" t="inlineStr">
        <is>
          <t>朗瑞1-7</t>
        </is>
      </c>
      <c r="C33" s="112" t="n"/>
      <c r="D33" s="112" t="n">
        <v>600</v>
      </c>
      <c r="E33" s="572">
        <f>+E32+C33-D33</f>
        <v/>
      </c>
    </row>
    <row r="34">
      <c r="A34" s="156" t="n"/>
      <c r="B34" s="112" t="n"/>
      <c r="C34" s="112" t="n"/>
      <c r="D34" s="112" t="n"/>
      <c r="E34" s="572">
        <f>+E33+C34-D34</f>
        <v/>
      </c>
    </row>
    <row r="35">
      <c r="A35" s="156" t="n">
        <v>46094</v>
      </c>
      <c r="B35" s="112" t="inlineStr">
        <is>
          <t>兑付赎回</t>
        </is>
      </c>
      <c r="C35" s="112" t="n"/>
      <c r="D35" s="112" t="n">
        <v>207.6</v>
      </c>
      <c r="E35" s="572">
        <f>+E34+C35-D35</f>
        <v/>
      </c>
    </row>
    <row r="36">
      <c r="A36" s="156" t="n">
        <v>46094</v>
      </c>
      <c r="B36" s="112" t="inlineStr">
        <is>
          <t>雪球申购</t>
        </is>
      </c>
      <c r="C36" s="112" t="n">
        <v>100</v>
      </c>
      <c r="D36" s="112" t="n"/>
      <c r="E36" s="572">
        <f>+E35+C36-D36</f>
        <v/>
      </c>
    </row>
    <row r="37">
      <c r="A37" s="156" t="n">
        <v>46098</v>
      </c>
      <c r="B37" s="112" t="inlineStr">
        <is>
          <t>外贸元康1赎回</t>
        </is>
      </c>
      <c r="C37" s="112" t="n">
        <v>2700</v>
      </c>
      <c r="D37" s="112" t="n"/>
      <c r="E37" s="572">
        <f>+E36+C37-D37</f>
        <v/>
      </c>
    </row>
    <row r="38">
      <c r="A38" s="156" t="n">
        <v>46099</v>
      </c>
      <c r="B38" s="112" t="inlineStr">
        <is>
          <t>朗瑞1-5</t>
        </is>
      </c>
      <c r="C38" s="112" t="n"/>
      <c r="D38" s="112" t="n">
        <v>600</v>
      </c>
      <c r="E38" s="572">
        <f>+E37+C38-D38</f>
        <v/>
      </c>
    </row>
    <row r="39">
      <c r="A39" s="156" t="n"/>
      <c r="B39" s="112" t="n"/>
      <c r="C39" s="112" t="n"/>
      <c r="D39" s="112" t="n"/>
      <c r="E39" s="572">
        <f>+E38+C39-D39</f>
        <v/>
      </c>
    </row>
    <row r="40">
      <c r="A40" s="156" t="n"/>
      <c r="B40" s="112" t="n"/>
      <c r="C40" s="112" t="n"/>
      <c r="D40" s="112" t="n"/>
      <c r="E40" s="572">
        <f>+E39+C40-D40</f>
        <v/>
      </c>
    </row>
    <row r="41">
      <c r="A41" s="156" t="n">
        <v>46100</v>
      </c>
      <c r="B41" s="112" t="inlineStr">
        <is>
          <t>朗瑞1-7追加</t>
        </is>
      </c>
      <c r="C41" s="112" t="n"/>
      <c r="D41" s="112" t="n">
        <v>1700</v>
      </c>
      <c r="E41" s="572">
        <f>+E40+C41-D41</f>
        <v/>
      </c>
    </row>
    <row r="42">
      <c r="A42" s="156" t="n">
        <v>46101</v>
      </c>
      <c r="B42" s="112" t="inlineStr">
        <is>
          <t>雪球申购</t>
        </is>
      </c>
      <c r="C42" s="112" t="n">
        <v>200</v>
      </c>
      <c r="D42" s="112" t="n"/>
      <c r="E42" s="572">
        <f>+E41+C42-D42</f>
        <v/>
      </c>
    </row>
    <row r="43">
      <c r="A43" s="156" t="n">
        <v>46101</v>
      </c>
      <c r="B43" s="112" t="inlineStr">
        <is>
          <t>兑付赎回</t>
        </is>
      </c>
      <c r="C43" s="112" t="n"/>
      <c r="D43" s="112" t="n">
        <v>209.17</v>
      </c>
      <c r="E43" s="572">
        <f>+E42+C43-D43</f>
        <v/>
      </c>
    </row>
    <row r="44">
      <c r="E44" s="563" t="n">
        <v>545</v>
      </c>
    </row>
    <row r="45">
      <c r="B45" s="112" t="n"/>
      <c r="E45" s="563">
        <f>+E44+C45-D45</f>
        <v/>
      </c>
    </row>
    <row r="46">
      <c r="A46" s="156" t="n">
        <v>46111</v>
      </c>
      <c r="B46" s="112" t="inlineStr">
        <is>
          <t>兑付赎回</t>
        </is>
      </c>
      <c r="C46" s="112" t="n"/>
      <c r="D46" s="112" t="n">
        <v>208.72</v>
      </c>
      <c r="E46" s="563">
        <f>+E45+C46-D46</f>
        <v/>
      </c>
    </row>
    <row r="47">
      <c r="A47" s="156" t="n">
        <v>46111</v>
      </c>
      <c r="B47" s="112" t="inlineStr">
        <is>
          <t>雪球申购</t>
        </is>
      </c>
      <c r="C47" s="112" t="n">
        <v>333.112</v>
      </c>
      <c r="D47" s="112" t="n"/>
      <c r="E47" s="563">
        <f>+E46+C47-D47</f>
        <v/>
      </c>
    </row>
    <row r="48">
      <c r="A48" s="156" t="n"/>
      <c r="B48" s="112" t="n"/>
      <c r="C48" s="112" t="n"/>
      <c r="D48" s="112" t="n"/>
      <c r="E48" s="563">
        <f>+E47+C48-D48</f>
        <v/>
      </c>
    </row>
    <row r="49">
      <c r="A49" s="156" t="n">
        <v>46111</v>
      </c>
      <c r="B49" s="112" t="inlineStr">
        <is>
          <t>朗瑞1-5申购</t>
        </is>
      </c>
      <c r="C49" s="112" t="n"/>
      <c r="D49" s="112" t="n">
        <v>600</v>
      </c>
      <c r="E49" s="572">
        <f>+E48+C49-D49</f>
        <v/>
      </c>
    </row>
    <row r="50">
      <c r="A50" s="156" t="n"/>
      <c r="B50" s="112" t="n"/>
      <c r="C50" s="112" t="n"/>
      <c r="D50" s="112" t="n"/>
      <c r="E50" s="572">
        <f>+E49+C50-D50</f>
        <v/>
      </c>
    </row>
    <row r="51">
      <c r="A51" s="156" t="n"/>
      <c r="B51" s="112" t="n"/>
      <c r="C51" s="112" t="n"/>
      <c r="D51" s="112" t="n"/>
      <c r="E51" s="572">
        <f>+E50+C51-D51</f>
        <v/>
      </c>
    </row>
    <row r="52">
      <c r="A52" s="156" t="n">
        <v>46115</v>
      </c>
      <c r="B52" s="112" t="inlineStr">
        <is>
          <t>雪球申购</t>
        </is>
      </c>
      <c r="C52" s="112" t="n">
        <v>718</v>
      </c>
      <c r="D52" s="112" t="n"/>
      <c r="E52" s="572">
        <f>+E51+C52-D52</f>
        <v/>
      </c>
    </row>
    <row r="53">
      <c r="A53" s="156" t="n">
        <v>46120</v>
      </c>
      <c r="B53" s="112" t="inlineStr">
        <is>
          <t>外贸元康1赎回</t>
        </is>
      </c>
      <c r="C53" s="112" t="n">
        <v>1298</v>
      </c>
      <c r="D53" s="112" t="n"/>
      <c r="E53" s="572">
        <f>+E52+C53-D53</f>
        <v/>
      </c>
    </row>
    <row r="54">
      <c r="A54" s="156" t="n"/>
      <c r="B54" s="112" t="n"/>
      <c r="C54" s="112" t="n"/>
      <c r="D54" s="112" t="n"/>
      <c r="E54" s="572">
        <f>+E53+C54-D54</f>
        <v/>
      </c>
    </row>
    <row r="55">
      <c r="A55" s="156" t="n">
        <v>46121</v>
      </c>
      <c r="B55" s="112" t="inlineStr">
        <is>
          <t>朗瑞1-5</t>
        </is>
      </c>
      <c r="C55" s="112" t="n"/>
      <c r="D55" s="112" t="n">
        <v>1000</v>
      </c>
      <c r="E55" s="572">
        <f>+E54+C55-D55</f>
        <v/>
      </c>
    </row>
    <row r="56">
      <c r="A56" s="156" t="n">
        <v>46122</v>
      </c>
      <c r="B56" s="112" t="inlineStr">
        <is>
          <t>鹏雅119</t>
        </is>
      </c>
      <c r="C56" s="112" t="n"/>
      <c r="D56" s="112" t="n">
        <v>475</v>
      </c>
      <c r="E56" s="572">
        <f>+E55+C56-D56</f>
        <v/>
      </c>
    </row>
    <row r="57" customFormat="1" s="112">
      <c r="A57" s="156" t="n">
        <v>46122</v>
      </c>
      <c r="B57" s="112" t="inlineStr">
        <is>
          <t>兑付赎回</t>
        </is>
      </c>
      <c r="D57" s="112">
        <f>36.8*1.53</f>
        <v/>
      </c>
      <c r="E57" s="572">
        <f>+E56+C57-D57</f>
        <v/>
      </c>
    </row>
    <row r="58" customFormat="1" s="112">
      <c r="A58" s="156" t="n">
        <v>46125</v>
      </c>
      <c r="B58" s="112" t="inlineStr">
        <is>
          <t>雪球申购</t>
        </is>
      </c>
      <c r="C58" s="112" t="n">
        <v>145</v>
      </c>
      <c r="E58" s="572">
        <f>+E57+C58-D58</f>
        <v/>
      </c>
    </row>
    <row r="59" customFormat="1" s="112">
      <c r="A59" s="156" t="n">
        <v>46125</v>
      </c>
      <c r="B59" s="112" t="inlineStr">
        <is>
          <t>中正达广申购</t>
        </is>
      </c>
      <c r="C59" s="112" t="n">
        <v>200</v>
      </c>
      <c r="E59" s="572">
        <f>+E58+C59-D59</f>
        <v/>
      </c>
    </row>
    <row r="60">
      <c r="A60" s="156" t="n">
        <v>46127</v>
      </c>
      <c r="B60" s="112" t="inlineStr">
        <is>
          <t>鹏雅119</t>
        </is>
      </c>
      <c r="C60" s="112" t="n"/>
      <c r="D60" s="112" t="n">
        <v>8</v>
      </c>
      <c r="E60" s="572">
        <f>+E59+C60-D60</f>
        <v/>
      </c>
    </row>
    <row r="61">
      <c r="E61" s="563">
        <f>+E60+C61-D61</f>
        <v/>
      </c>
    </row>
    <row r="62">
      <c r="B62" s="112" t="n"/>
      <c r="E62" s="563">
        <f>+E61+C62-D62</f>
        <v/>
      </c>
    </row>
    <row r="63">
      <c r="A63" s="156" t="n">
        <v>46129</v>
      </c>
      <c r="B63" s="112" t="inlineStr">
        <is>
          <t>兑付赎回</t>
        </is>
      </c>
      <c r="C63" s="112" t="n"/>
      <c r="D63" s="112" t="n">
        <v>516.869095</v>
      </c>
      <c r="E63" s="572">
        <f>+E62+C63-D63</f>
        <v/>
      </c>
    </row>
    <row r="64">
      <c r="A64" s="156" t="n">
        <v>46132</v>
      </c>
      <c r="B64" s="112" t="inlineStr">
        <is>
          <t>雪球申购</t>
        </is>
      </c>
      <c r="C64" s="112" t="n">
        <v>210</v>
      </c>
      <c r="D64" s="112" t="n"/>
      <c r="E64" s="572">
        <f>+E63+C64-D64</f>
        <v/>
      </c>
    </row>
    <row r="65">
      <c r="A65" s="156" t="n"/>
      <c r="B65" s="112" t="n"/>
      <c r="C65" s="112" t="n"/>
      <c r="D65" s="112" t="n"/>
      <c r="E65" s="572">
        <f>+E64+C65-D65</f>
        <v/>
      </c>
    </row>
    <row r="66">
      <c r="A66" s="156" t="n">
        <v>46133</v>
      </c>
      <c r="B66" s="112" t="inlineStr">
        <is>
          <t>新增申购中正达广</t>
        </is>
      </c>
      <c r="C66" s="112" t="n">
        <v>500</v>
      </c>
      <c r="D66" s="112" t="n"/>
      <c r="E66" s="572">
        <f>+E65+C66-D66</f>
        <v/>
      </c>
    </row>
    <row r="67">
      <c r="A67" s="156" t="n"/>
      <c r="B67" s="112" t="n"/>
      <c r="C67" s="112" t="n"/>
      <c r="D67" s="112" t="n"/>
      <c r="E67" s="572">
        <f>+E66+C67-D67</f>
        <v/>
      </c>
    </row>
    <row r="68">
      <c r="A68" s="156" t="n"/>
      <c r="B68" s="112" t="n"/>
      <c r="C68" s="112" t="n"/>
      <c r="D68" s="112" t="n"/>
      <c r="E68" s="572">
        <f>+E67+C68-D68</f>
        <v/>
      </c>
    </row>
    <row r="69">
      <c r="A69" s="156" t="n">
        <v>46136</v>
      </c>
      <c r="B69" s="112" t="inlineStr">
        <is>
          <t>兑付赎回</t>
        </is>
      </c>
      <c r="C69" s="112" t="n"/>
      <c r="D69" s="112" t="n">
        <v>105.866114</v>
      </c>
      <c r="E69" s="572">
        <f>+E68+C69-D69</f>
        <v/>
      </c>
    </row>
    <row r="70">
      <c r="A70" s="156" t="n"/>
      <c r="B70" s="112" t="n"/>
      <c r="C70" s="112" t="n"/>
      <c r="D70" s="112" t="n"/>
      <c r="E70" s="572">
        <f>+E69+C70-D70</f>
        <v/>
      </c>
    </row>
    <row r="71">
      <c r="A71" s="156" t="n">
        <v>46136</v>
      </c>
      <c r="B71" s="112" t="inlineStr">
        <is>
          <t>元康盛景28号</t>
        </is>
      </c>
      <c r="C71" s="112" t="n"/>
      <c r="D71" s="112" t="n">
        <v>700</v>
      </c>
      <c r="E71" s="572">
        <f>+E70+C71-D71</f>
        <v/>
      </c>
      <c r="F71" s="473" t="inlineStr">
        <is>
          <t>已发</t>
        </is>
      </c>
    </row>
    <row r="72">
      <c r="A72" s="156" t="n">
        <v>46136</v>
      </c>
      <c r="B72" s="112" t="inlineStr">
        <is>
          <t>中正达广申购</t>
        </is>
      </c>
      <c r="C72" s="112" t="n">
        <v>156</v>
      </c>
      <c r="D72" s="112" t="n"/>
      <c r="E72" s="572">
        <f>+E71+C72-D72</f>
        <v/>
      </c>
      <c r="F72" s="324" t="n"/>
    </row>
    <row r="73">
      <c r="A73" s="156" t="n">
        <v>46136</v>
      </c>
      <c r="B73" s="112" t="inlineStr">
        <is>
          <t>雪球申购</t>
        </is>
      </c>
      <c r="C73" s="112" t="n">
        <v>733</v>
      </c>
      <c r="D73" s="112" t="n"/>
      <c r="E73" s="572">
        <f>+E72+C73-D73</f>
        <v/>
      </c>
      <c r="F73" s="324" t="n"/>
    </row>
    <row r="74">
      <c r="A74" s="156" t="n">
        <v>46140</v>
      </c>
      <c r="B74" s="112" t="inlineStr">
        <is>
          <t>外贸-元康1号赎回</t>
        </is>
      </c>
      <c r="C74" s="112" t="n">
        <v>800</v>
      </c>
      <c r="D74" s="112" t="n"/>
      <c r="E74" s="572">
        <f>+E73+C74-D74</f>
        <v/>
      </c>
      <c r="F74" s="562" t="inlineStr">
        <is>
          <t>已发</t>
        </is>
      </c>
    </row>
    <row r="75">
      <c r="A75" s="156" t="n">
        <v>46140</v>
      </c>
      <c r="B75" s="112" t="inlineStr">
        <is>
          <t>鹏雅119</t>
        </is>
      </c>
      <c r="C75" s="112" t="n"/>
      <c r="D75" s="112" t="n">
        <v>700</v>
      </c>
      <c r="E75" s="572">
        <f>+E74+C75-D75</f>
        <v/>
      </c>
      <c r="F75" s="562" t="inlineStr">
        <is>
          <t>已发</t>
        </is>
      </c>
    </row>
    <row r="76">
      <c r="A76" s="156" t="n">
        <v>46141</v>
      </c>
      <c r="B76" s="112" t="inlineStr">
        <is>
          <t>元康盛景28号</t>
        </is>
      </c>
      <c r="C76" s="112" t="n"/>
      <c r="D76" s="112" t="n">
        <v>300</v>
      </c>
      <c r="E76" s="572">
        <f>+E75+C76-D76</f>
        <v/>
      </c>
      <c r="F76" s="562" t="inlineStr">
        <is>
          <t>已发</t>
        </is>
      </c>
    </row>
    <row r="77">
      <c r="A77" s="156" t="n"/>
      <c r="B77" s="112" t="n"/>
      <c r="C77" s="112" t="n"/>
      <c r="D77" s="578" t="n"/>
      <c r="E77" s="572">
        <f>+E76+C77-D77</f>
        <v/>
      </c>
    </row>
    <row r="78">
      <c r="A78" s="156" t="n">
        <v>46148</v>
      </c>
      <c r="B78" s="112" t="inlineStr">
        <is>
          <t>兑付赎回</t>
        </is>
      </c>
      <c r="C78" s="112" t="n"/>
      <c r="D78" s="578">
        <f>233.180066+0.001585</f>
        <v/>
      </c>
      <c r="E78" s="572">
        <f>+E77+C78-D78</f>
        <v/>
      </c>
    </row>
    <row r="79">
      <c r="A79" s="156" t="n">
        <v>46149</v>
      </c>
      <c r="B79" s="112" t="inlineStr">
        <is>
          <t>雪球申购</t>
        </is>
      </c>
      <c r="C79" s="112" t="n">
        <v>1054.3</v>
      </c>
      <c r="D79" s="112" t="n"/>
      <c r="E79" s="572">
        <f>+E78+C79-D79</f>
        <v/>
      </c>
    </row>
    <row r="80">
      <c r="A80" s="156" t="n">
        <v>46150</v>
      </c>
      <c r="B80" s="112" t="inlineStr">
        <is>
          <t>申购外贸-元康1号</t>
        </is>
      </c>
      <c r="C80" s="112" t="n"/>
      <c r="D80" s="112" t="n">
        <v>800</v>
      </c>
      <c r="E80" s="572">
        <f>+E79+C80-D80</f>
        <v/>
      </c>
      <c r="F80" s="562" t="inlineStr">
        <is>
          <t>已发</t>
        </is>
      </c>
    </row>
    <row r="81">
      <c r="A81" s="156" t="n">
        <v>46153</v>
      </c>
      <c r="B81" s="112" t="inlineStr">
        <is>
          <t>雪球申购</t>
        </is>
      </c>
      <c r="C81" s="112" t="n">
        <v>200</v>
      </c>
      <c r="D81" s="112" t="n"/>
      <c r="E81" s="572">
        <f>+E80+C81-D81</f>
        <v/>
      </c>
    </row>
    <row r="82">
      <c r="A82" s="156" t="n">
        <v>46153</v>
      </c>
      <c r="B82" s="112" t="inlineStr">
        <is>
          <t>支付业绩报酬</t>
        </is>
      </c>
      <c r="C82" s="112" t="n"/>
      <c r="D82" s="112" t="n">
        <v>2.3</v>
      </c>
      <c r="E82" s="572">
        <f>+E81+C82-D82</f>
        <v/>
      </c>
    </row>
    <row r="83">
      <c r="A83" s="156" t="n">
        <v>46155</v>
      </c>
      <c r="B83" s="112" t="inlineStr">
        <is>
          <t>元康31号申购</t>
        </is>
      </c>
      <c r="C83" s="112" t="n"/>
      <c r="D83" s="112" t="n">
        <v>1150</v>
      </c>
      <c r="E83" s="572">
        <f>+E82+C83-D83</f>
        <v/>
      </c>
      <c r="F83" s="562" t="inlineStr">
        <is>
          <t>已发</t>
        </is>
      </c>
    </row>
    <row r="84">
      <c r="A84" s="156" t="n">
        <v>46157</v>
      </c>
      <c r="B84" s="112" t="inlineStr">
        <is>
          <t>兑付赎回</t>
        </is>
      </c>
      <c r="C84" s="112" t="n"/>
      <c r="D84" s="578" t="n">
        <v>4.95236</v>
      </c>
      <c r="E84" s="572">
        <f>+E83+C84-D84</f>
        <v/>
      </c>
    </row>
    <row r="85">
      <c r="A85" s="156" t="n">
        <v>46157</v>
      </c>
      <c r="B85" s="112" t="inlineStr">
        <is>
          <t>朗瑞1-7赎回</t>
        </is>
      </c>
      <c r="C85" s="112" t="n">
        <v>800</v>
      </c>
      <c r="D85" s="112" t="n"/>
      <c r="E85" s="572">
        <f>+E84+C85-D85</f>
        <v/>
      </c>
    </row>
    <row r="86">
      <c r="A86" s="156" t="n">
        <v>46160</v>
      </c>
      <c r="B86" s="112" t="inlineStr">
        <is>
          <t>雪球申购</t>
        </is>
      </c>
      <c r="C86" s="112" t="n">
        <v>935.7</v>
      </c>
      <c r="D86" s="112" t="n"/>
      <c r="E86" s="572">
        <f>+E85+C86-D86</f>
        <v/>
      </c>
    </row>
    <row r="87">
      <c r="A87" s="4" t="n">
        <v>46160</v>
      </c>
      <c r="B87" s="112" t="inlineStr">
        <is>
          <t>工鑫34次</t>
        </is>
      </c>
      <c r="D87" s="0" t="n">
        <v>1506</v>
      </c>
      <c r="E87" s="563">
        <f>+E86+C87-D87</f>
        <v/>
      </c>
      <c r="F87" s="562" t="inlineStr">
        <is>
          <t>2、方向：西藏君集1号to【元康盛景17号】
交易日期：2026年5月18日
债券代码：263612.SH
债券简称：工鑫34次
交易全价：107.571元/百元面值
数量：1400万面值（14万张，14000手）
卖方：西藏信托君集1号集合资金信托计划
卖方询价QQ：2850981264钟振涛
卖方交易员代码：Z07119
买方：【元康盛景17号】
买方询价QQ：【刘靖涛qt3003993899】
买方交易员代码：【Z11825】
约定号：【222】</t>
        </is>
      </c>
    </row>
    <row r="88">
      <c r="E88" s="563">
        <f>+E87+C88-D88</f>
        <v/>
      </c>
    </row>
    <row r="89">
      <c r="A89" s="4" t="n">
        <v>46162</v>
      </c>
      <c r="B89" s="112" t="inlineStr">
        <is>
          <t>工鑫34次</t>
        </is>
      </c>
      <c r="C89" s="0" t="n">
        <v>1506</v>
      </c>
      <c r="E89" s="563">
        <f>+E88+C89-D89</f>
        <v/>
      </c>
    </row>
    <row r="90">
      <c r="A90" s="4" t="n">
        <v>46162</v>
      </c>
      <c r="B90" s="0" t="inlineStr">
        <is>
          <t>24惠民4B</t>
        </is>
      </c>
      <c r="D90" s="0" t="n">
        <v>300</v>
      </c>
      <c r="E90" s="563">
        <f>+E89+C90-D90</f>
        <v/>
      </c>
      <c r="F90" s="562" t="inlineStr">
        <is>
          <t>5/20，24惠民4B，300W，100.5，国泰海通 樊文娟 to 元康盛景17号 刘靖涛</t>
        </is>
      </c>
    </row>
    <row r="91">
      <c r="E91" s="563">
        <f>+E90+C91-D91</f>
        <v/>
      </c>
    </row>
    <row r="92">
      <c r="B92" s="0" t="inlineStr">
        <is>
          <t>盛业回购</t>
        </is>
      </c>
      <c r="D92" s="0" t="n">
        <v>1400</v>
      </c>
      <c r="E92" s="563">
        <f>+E91+C92-D92</f>
        <v/>
      </c>
    </row>
    <row r="93">
      <c r="E93" s="563">
        <f>+E92+C93-D93</f>
        <v/>
      </c>
    </row>
    <row r="94">
      <c r="E94" s="563">
        <f>+E93+C94-D94</f>
        <v/>
      </c>
    </row>
    <row r="95">
      <c r="A95" s="4" t="n">
        <v>46164</v>
      </c>
      <c r="B95" s="0" t="inlineStr">
        <is>
          <t>朗瑞1号5期赎回</t>
        </is>
      </c>
      <c r="C95" s="0" t="n">
        <v>1200</v>
      </c>
      <c r="E95" s="563">
        <f>+E94+C95-D95</f>
        <v/>
      </c>
    </row>
    <row r="96">
      <c r="A96" s="4" t="n">
        <v>46164</v>
      </c>
      <c r="B96" s="0" t="inlineStr">
        <is>
          <t>鹏雅119</t>
        </is>
      </c>
      <c r="D96" s="0" t="n">
        <v>1100</v>
      </c>
      <c r="E96" s="563">
        <f>+E95+C96-D96</f>
        <v/>
      </c>
      <c r="F96" s="0" t="inlineStr">
        <is>
          <t>521发出</t>
        </is>
      </c>
    </row>
    <row r="97">
      <c r="A97" s="4" t="n">
        <v>46164</v>
      </c>
      <c r="B97" s="112" t="inlineStr">
        <is>
          <t>昆仑信托昆银1号</t>
        </is>
      </c>
      <c r="D97" s="0" t="n">
        <v>100</v>
      </c>
      <c r="E97" s="563">
        <f>+E96+C97-D97</f>
        <v/>
      </c>
    </row>
    <row r="98">
      <c r="B98" s="112" t="n"/>
      <c r="E98" s="563">
        <f>+E97+C98-D98</f>
        <v/>
      </c>
    </row>
    <row r="99">
      <c r="A99" s="4" t="n">
        <v>46169</v>
      </c>
      <c r="B99" s="0" t="inlineStr">
        <is>
          <t>朗瑞1号5期赎回</t>
        </is>
      </c>
      <c r="C99" s="0" t="n">
        <v>300</v>
      </c>
      <c r="E99" s="563">
        <f>+E98+C99-D99</f>
        <v/>
      </c>
    </row>
    <row r="100">
      <c r="A100" s="4" t="n">
        <v>46169</v>
      </c>
      <c r="B100" s="0" t="inlineStr">
        <is>
          <t>元康28号</t>
        </is>
      </c>
      <c r="D100" s="0" t="n">
        <v>200</v>
      </c>
      <c r="E100" s="563">
        <f>+E99+C100-D100</f>
        <v/>
      </c>
      <c r="F100" s="0" t="inlineStr">
        <is>
          <t>526发出</t>
        </is>
      </c>
    </row>
    <row r="101">
      <c r="A101" s="4" t="n">
        <v>46178</v>
      </c>
      <c r="B101" s="0" t="inlineStr">
        <is>
          <t>兑付赎回</t>
        </is>
      </c>
      <c r="D101" s="0">
        <f>68*1.6</f>
        <v/>
      </c>
      <c r="E101" s="563">
        <f>+E100+C101-D101</f>
        <v/>
      </c>
    </row>
    <row r="102">
      <c r="E102" s="563">
        <f>+E101+C102-D102</f>
        <v/>
      </c>
    </row>
    <row r="103">
      <c r="A103" s="4" t="n">
        <v>46185</v>
      </c>
      <c r="B103" s="0" t="inlineStr">
        <is>
          <t>兑付赎回</t>
        </is>
      </c>
      <c r="D103" s="0">
        <f>18*1.7</f>
        <v/>
      </c>
      <c r="E103" s="563">
        <f>+E102+C103-D103</f>
        <v/>
      </c>
    </row>
    <row r="104">
      <c r="E104" s="563">
        <f>+E103+C104-D104</f>
        <v/>
      </c>
    </row>
    <row r="105">
      <c r="E105" s="563">
        <f>+E104+C105-D105</f>
        <v/>
      </c>
    </row>
    <row r="106">
      <c r="E106" s="563">
        <f>+E105+C106-D106</f>
        <v/>
      </c>
    </row>
    <row r="107">
      <c r="E107" s="563">
        <f>+E106+C107-D107</f>
        <v/>
      </c>
    </row>
    <row r="108">
      <c r="E108" s="563">
        <f>+E107+C108-D108</f>
        <v/>
      </c>
    </row>
    <row r="109">
      <c r="E109" s="563">
        <f>+E108+C109-D109</f>
        <v/>
      </c>
    </row>
    <row r="110">
      <c r="E110" s="563">
        <f>+E109+C110-D110</f>
        <v/>
      </c>
    </row>
    <row r="111">
      <c r="E111" s="563">
        <f>+E110+C111-D111</f>
        <v/>
      </c>
    </row>
    <row r="112">
      <c r="E112" s="563">
        <f>+E111+C112-D112</f>
        <v/>
      </c>
    </row>
  </sheetData>
  <conditionalFormatting sqref="E1:E1048576">
    <cfRule type="cellIs" priority="1" operator="lessThan" dxfId="0">
      <formula>0</formula>
    </cfRule>
  </conditionalFormatting>
  <pageMargins left="0.7" right="0.7" top="0.75" bottom="0.75" header="0.3" footer="0.3"/>
</worksheet>
</file>

<file path=xl/worksheets/sheet17.xml><?xml version="1.0" encoding="utf-8"?>
<worksheet xmlns="http://schemas.openxmlformats.org/spreadsheetml/2006/main">
  <sheetPr codeName="Sheet13">
    <outlinePr summaryBelow="1" summaryRight="1"/>
    <pageSetUpPr/>
  </sheetPr>
  <dimension ref="A1:O124"/>
  <sheetViews>
    <sheetView zoomScaleNormal="100" workbookViewId="0">
      <pane ySplit="2" topLeftCell="A94" activePane="bottomLeft" state="frozen"/>
      <selection pane="bottomLeft" activeCell="E1" sqref="E1:E1048576"/>
    </sheetView>
  </sheetViews>
  <sheetFormatPr baseColWidth="8" defaultColWidth="9" defaultRowHeight="16.5"/>
  <cols>
    <col width="10" bestFit="1" customWidth="1" style="4" min="1" max="1"/>
    <col width="18.375" customWidth="1" style="326" min="2" max="2"/>
    <col width="12.875" bestFit="1" customWidth="1" style="326" min="3" max="3"/>
    <col width="8.75" bestFit="1" customWidth="1" style="326" min="4" max="4"/>
    <col width="8.75" bestFit="1" customWidth="1" style="563" min="5" max="5"/>
    <col width="13.5" customWidth="1" style="326" min="6" max="6"/>
    <col width="15.125" bestFit="1" customWidth="1" style="326" min="7" max="7"/>
    <col width="10" bestFit="1" customWidth="1" style="326" min="9" max="9"/>
    <col width="12.375" customWidth="1" style="326" min="10" max="10"/>
    <col width="11.125" bestFit="1" customWidth="1" style="326" min="11" max="11"/>
    <col width="10.625" customWidth="1" style="326" min="12" max="12"/>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v>234</v>
      </c>
    </row>
    <row r="4">
      <c r="A4" s="156" t="n"/>
      <c r="B4" s="112" t="n"/>
      <c r="C4" s="112" t="n"/>
      <c r="D4" s="112" t="n"/>
      <c r="E4" s="572">
        <f>+E3+C4-D4</f>
        <v/>
      </c>
    </row>
    <row r="5">
      <c r="A5" s="228" t="n">
        <v>46031</v>
      </c>
      <c r="B5" s="229" t="inlineStr">
        <is>
          <t>元康盛景1号申购</t>
        </is>
      </c>
      <c r="C5" s="639" t="n">
        <v>600</v>
      </c>
      <c r="D5" s="639" t="n"/>
      <c r="E5" s="572">
        <f>+E4+C5-D5</f>
        <v/>
      </c>
    </row>
    <row r="6">
      <c r="A6" s="228" t="n">
        <v>46031</v>
      </c>
      <c r="B6" s="229" t="inlineStr">
        <is>
          <t>元康17号申购</t>
        </is>
      </c>
      <c r="C6" s="639" t="n">
        <v>350</v>
      </c>
      <c r="D6" s="639" t="n"/>
      <c r="E6" s="572">
        <f>+E5+C6-D6</f>
        <v/>
      </c>
    </row>
    <row r="7">
      <c r="A7" s="228" t="n">
        <v>46035</v>
      </c>
      <c r="B7" s="229" t="inlineStr">
        <is>
          <t>元康20赎回</t>
        </is>
      </c>
      <c r="C7" s="639" t="n"/>
      <c r="D7" s="639" t="n">
        <v>1100</v>
      </c>
      <c r="E7" s="572" t="n">
        <v>73</v>
      </c>
    </row>
    <row r="8">
      <c r="A8" s="228" t="n">
        <v>46036</v>
      </c>
      <c r="B8" s="229" t="inlineStr">
        <is>
          <t>底层回款</t>
        </is>
      </c>
      <c r="C8" s="639" t="n">
        <v>24</v>
      </c>
      <c r="D8" s="639" t="n"/>
      <c r="E8" s="572">
        <f>+E7+C8-D8</f>
        <v/>
      </c>
    </row>
    <row r="9">
      <c r="A9" s="228" t="n"/>
      <c r="B9" s="229" t="n"/>
      <c r="C9" s="639" t="n"/>
      <c r="D9" s="639" t="n"/>
      <c r="E9" s="572">
        <f>+E8+C9-D9</f>
        <v/>
      </c>
    </row>
    <row r="10">
      <c r="A10" s="228" t="n">
        <v>46041</v>
      </c>
      <c r="B10" s="229" t="inlineStr">
        <is>
          <t>元康20申购</t>
        </is>
      </c>
      <c r="C10" s="640" t="n">
        <v>2600</v>
      </c>
      <c r="D10" s="639" t="n"/>
      <c r="E10" s="572">
        <f>+E9+C10-D10</f>
        <v/>
      </c>
    </row>
    <row r="11">
      <c r="A11" s="228" t="n"/>
      <c r="B11" s="229" t="n"/>
      <c r="C11" s="639" t="n"/>
      <c r="D11" s="639" t="n"/>
      <c r="E11" s="572">
        <f>+E10+C11-D11</f>
        <v/>
      </c>
    </row>
    <row r="12">
      <c r="A12" s="228" t="n">
        <v>46041</v>
      </c>
      <c r="B12" s="229" t="inlineStr">
        <is>
          <t>云信</t>
        </is>
      </c>
      <c r="C12" s="639" t="n"/>
      <c r="D12" s="640">
        <f>2000*1.074225</f>
        <v/>
      </c>
      <c r="E12" s="572">
        <f>+E11+C12-D12</f>
        <v/>
      </c>
      <c r="F12" s="0" t="inlineStr">
        <is>
          <t>24美团美玥ABN001次[082481199.IB]，2000w面值，107.4225,1月19日，中信证券 林秋益QT 3004157238 to 外贸信托朗瑞1号5期 孟亚琪</t>
        </is>
      </c>
    </row>
    <row r="13">
      <c r="A13" s="228" t="n">
        <v>46042</v>
      </c>
      <c r="B13" s="229" t="inlineStr">
        <is>
          <t>回款</t>
        </is>
      </c>
      <c r="C13" s="640" t="n">
        <v>30.7</v>
      </c>
      <c r="D13" s="639" t="n"/>
      <c r="E13" s="563">
        <f>+E12+C13-D13</f>
        <v/>
      </c>
    </row>
    <row r="14">
      <c r="A14" s="228" t="n"/>
      <c r="B14" s="229" t="n"/>
      <c r="C14" s="639" t="n"/>
      <c r="D14" s="639" t="n"/>
      <c r="E14" s="563">
        <f>+E13+C14-D14</f>
        <v/>
      </c>
    </row>
    <row r="15">
      <c r="A15" s="228" t="n">
        <v>46044</v>
      </c>
      <c r="B15" s="229" t="inlineStr">
        <is>
          <t>元康29申购</t>
        </is>
      </c>
      <c r="C15" s="640" t="n">
        <v>800</v>
      </c>
      <c r="D15" s="639" t="n"/>
      <c r="E15" s="572">
        <f>+E14+C15-D15</f>
        <v/>
      </c>
    </row>
    <row r="16">
      <c r="A16" s="228" t="n">
        <v>46044</v>
      </c>
      <c r="B16" s="229" t="inlineStr">
        <is>
          <t>回款</t>
        </is>
      </c>
      <c r="C16" s="640" t="n">
        <v>9.1</v>
      </c>
      <c r="D16" s="639" t="n"/>
      <c r="E16" s="572">
        <f>+E15+C16-D16</f>
        <v/>
      </c>
    </row>
    <row r="17">
      <c r="A17" s="228" t="n">
        <v>46044</v>
      </c>
      <c r="B17" s="229" t="inlineStr">
        <is>
          <t>温兴</t>
        </is>
      </c>
      <c r="C17" s="641" t="n"/>
      <c r="D17" s="642">
        <f>800*1.003</f>
        <v/>
      </c>
      <c r="E17" s="572">
        <f>+E16+C17-D17</f>
        <v/>
      </c>
      <c r="F17" s="217" t="inlineStr">
        <is>
          <t>25温兴1次级[2589143.IB] ，1月22日，800w，100.3，t+0，国泰海通 冉雅婷 to 外贸信托朗瑞1号5期 孟亚琪</t>
        </is>
      </c>
    </row>
    <row r="18">
      <c r="A18" s="234" t="n"/>
      <c r="B18" s="235" t="n"/>
      <c r="C18" s="643" t="n"/>
      <c r="D18" s="644" t="n"/>
      <c r="E18" s="563">
        <f>+E17+C18-D18</f>
        <v/>
      </c>
    </row>
    <row r="19">
      <c r="A19" s="228" t="n">
        <v>46048</v>
      </c>
      <c r="B19" s="645" t="inlineStr">
        <is>
          <t>泸州</t>
        </is>
      </c>
      <c r="C19" s="642">
        <f>1500*100.2683/100</f>
        <v/>
      </c>
      <c r="D19" s="642" t="n"/>
      <c r="E19" s="572">
        <f>+E18+C19-D19</f>
        <v/>
      </c>
    </row>
    <row r="20">
      <c r="A20" s="228" t="n">
        <v>46048</v>
      </c>
      <c r="B20" s="645" t="inlineStr">
        <is>
          <t>底层兑付</t>
        </is>
      </c>
      <c r="C20" s="642" t="n">
        <v>87</v>
      </c>
      <c r="D20" s="642" t="n"/>
      <c r="E20" s="572">
        <f>+E19+C20-D20</f>
        <v/>
      </c>
    </row>
    <row r="21">
      <c r="A21" s="228" t="n">
        <v>46049</v>
      </c>
      <c r="B21" s="645" t="inlineStr">
        <is>
          <t>底层兑付</t>
        </is>
      </c>
      <c r="C21" s="642" t="n">
        <v>378</v>
      </c>
      <c r="D21" s="642" t="n"/>
      <c r="E21" s="572">
        <f>+E20+C21-D21</f>
        <v/>
      </c>
    </row>
    <row r="22">
      <c r="A22" s="228" t="n">
        <v>46051</v>
      </c>
      <c r="B22" s="645" t="inlineStr">
        <is>
          <t>元康29号赎回</t>
        </is>
      </c>
      <c r="C22" s="642" t="n"/>
      <c r="D22" s="642" t="n">
        <v>507</v>
      </c>
      <c r="E22" s="572">
        <f>+E21+C22-D22</f>
        <v/>
      </c>
    </row>
    <row r="23">
      <c r="A23" s="228" t="n">
        <v>46051</v>
      </c>
      <c r="B23" s="645" t="inlineStr">
        <is>
          <t>元康20号赎回</t>
        </is>
      </c>
      <c r="C23" s="642" t="n"/>
      <c r="D23" s="642" t="n">
        <v>603</v>
      </c>
      <c r="E23" s="572">
        <f>+E22+C23-D23</f>
        <v/>
      </c>
      <c r="H23" s="0" t="inlineStr">
        <is>
          <t> </t>
        </is>
      </c>
    </row>
    <row r="24">
      <c r="A24" s="228" t="n">
        <v>46055</v>
      </c>
      <c r="B24" s="645" t="inlineStr">
        <is>
          <t>元康17号申购</t>
        </is>
      </c>
      <c r="C24" s="642" t="n">
        <v>100</v>
      </c>
      <c r="D24" s="642" t="n"/>
      <c r="E24" s="572">
        <f>+E23+C24-D24</f>
        <v/>
      </c>
    </row>
    <row r="25">
      <c r="A25" s="228" t="n"/>
      <c r="B25" s="645" t="n"/>
      <c r="C25" s="642" t="n"/>
      <c r="D25" s="642" t="n"/>
      <c r="E25" s="572">
        <f>+E24+C25-D25</f>
        <v/>
      </c>
    </row>
    <row r="26">
      <c r="A26" s="228" t="n">
        <v>46056</v>
      </c>
      <c r="B26" s="645" t="inlineStr">
        <is>
          <t>元康20号赎回</t>
        </is>
      </c>
      <c r="C26" s="642" t="n"/>
      <c r="D26" s="642" t="n">
        <v>200</v>
      </c>
      <c r="E26" s="572">
        <f>+E25+C26-D26</f>
        <v/>
      </c>
    </row>
    <row r="27">
      <c r="A27" s="228" t="n">
        <v>46059</v>
      </c>
      <c r="B27" s="645" t="inlineStr">
        <is>
          <t>元康9号申购</t>
        </is>
      </c>
      <c r="C27" s="642" t="n">
        <v>1100</v>
      </c>
      <c r="D27" s="642" t="n"/>
      <c r="E27" s="572">
        <f>+E26+C27-D27</f>
        <v/>
      </c>
    </row>
    <row r="28">
      <c r="A28" s="228" t="n">
        <v>46059</v>
      </c>
      <c r="B28" s="645" t="inlineStr">
        <is>
          <t>元康22申购</t>
        </is>
      </c>
      <c r="C28" s="642" t="n">
        <v>1650</v>
      </c>
      <c r="D28" s="642" t="n"/>
      <c r="E28" s="572">
        <f>+E27+C28-D28</f>
        <v/>
      </c>
    </row>
    <row r="29">
      <c r="A29" s="228" t="n">
        <v>46059</v>
      </c>
      <c r="B29" s="645" t="inlineStr">
        <is>
          <t>元康17号申购</t>
        </is>
      </c>
      <c r="C29" s="642" t="n">
        <v>200</v>
      </c>
      <c r="D29" s="642" t="n"/>
      <c r="E29" s="572">
        <f>+E28+C29-D29</f>
        <v/>
      </c>
    </row>
    <row r="30">
      <c r="A30" s="228" t="n">
        <v>46059</v>
      </c>
      <c r="B30" s="645" t="inlineStr">
        <is>
          <t>元康1号赎回</t>
        </is>
      </c>
      <c r="C30" s="642" t="n"/>
      <c r="D30" s="642" t="n">
        <v>1201</v>
      </c>
      <c r="E30" s="572">
        <f>+E29+C30-D30</f>
        <v/>
      </c>
    </row>
    <row r="31">
      <c r="A31" s="228" t="n">
        <v>46059</v>
      </c>
      <c r="B31" s="645" t="inlineStr">
        <is>
          <t>25鼎柚3次级</t>
        </is>
      </c>
      <c r="C31" s="642" t="n"/>
      <c r="D31" s="642">
        <f>1200*1.018227</f>
        <v/>
      </c>
      <c r="E31" s="572">
        <f>+E30+C31-D31</f>
        <v/>
      </c>
      <c r="F31" s="0" t="inlineStr">
        <is>
          <t>25鼎柚3次级，2589212.IB，2-6, 1200w，101.8227，国泰海通 夏雪 to 外贸信托朗瑞1号5期 孟亚琪</t>
        </is>
      </c>
      <c r="K31" s="1" t="n"/>
    </row>
    <row r="32">
      <c r="A32" s="228" t="n">
        <v>46059</v>
      </c>
      <c r="B32" s="645" t="inlineStr">
        <is>
          <t>20飞驰建普2C</t>
        </is>
      </c>
      <c r="C32" s="642" t="n"/>
      <c r="D32" s="642">
        <f>1975*0.2926/100</f>
        <v/>
      </c>
      <c r="E32" s="572">
        <f>+E31+C32-D32</f>
        <v/>
      </c>
      <c r="F32" s="0" t="inlineStr">
        <is>
          <t>1、20飞驰建普2C，2089421.IB，1975w，0.2826元/百元面值，2月6日，中诚信托固益人生18号集合资金信托计划殷锋 QT号：2885822426   to 天风证券 唐德婷qt2885078648</t>
        </is>
      </c>
      <c r="K32" s="1" t="n"/>
    </row>
    <row r="33">
      <c r="A33" s="228" t="n"/>
      <c r="B33" s="645" t="n"/>
      <c r="C33" s="642" t="n"/>
      <c r="D33" s="642" t="n"/>
      <c r="E33" s="572" t="n">
        <v>1869</v>
      </c>
      <c r="F33" s="0" t="inlineStr">
        <is>
          <t>2、20飞驰建普2C，2089421.IB，1975w，0.2926元/百元面值，2月6日，外贸信托朗瑞1号5期 孟亚琪2881131472</t>
        </is>
      </c>
      <c r="K33" s="1" t="n"/>
    </row>
    <row r="34">
      <c r="A34" s="228" t="n"/>
      <c r="B34" s="645" t="n"/>
      <c r="C34" s="642" t="n"/>
      <c r="D34" s="642" t="n"/>
      <c r="E34" s="572">
        <f>+E33+C34-D34</f>
        <v/>
      </c>
      <c r="K34" s="1" t="n"/>
    </row>
    <row r="35">
      <c r="A35" s="228" t="n">
        <v>46062</v>
      </c>
      <c r="B35" s="645" t="inlineStr">
        <is>
          <t>元康1号申购</t>
        </is>
      </c>
      <c r="C35" s="642" t="n">
        <v>200</v>
      </c>
      <c r="D35" s="642" t="n"/>
      <c r="E35" s="572">
        <f>+E34+C35-D35</f>
        <v/>
      </c>
      <c r="K35" s="1" t="n"/>
    </row>
    <row r="36">
      <c r="A36" s="228" t="n">
        <v>46062</v>
      </c>
      <c r="B36" s="645" t="inlineStr">
        <is>
          <t>24和赢众鑫ABN002优先B</t>
        </is>
      </c>
      <c r="C36" s="642" t="n"/>
      <c r="D36" s="642">
        <f>500*100.20089/100</f>
        <v/>
      </c>
      <c r="E36" s="572">
        <f>+E35+C36-D36</f>
        <v/>
      </c>
      <c r="F36" s="0" t="inlineStr">
        <is>
          <t>1、082480881.IB 24和赢众鑫ABN002优先B，500w 净价100.005 应计利息 0.19589，中信证券 to 外贸信托朗瑞1号5期（孟亚琪，2881131472），发中信证券（林秋益，3004157238）请求</t>
        </is>
      </c>
      <c r="K36" s="1" t="n"/>
    </row>
    <row r="37">
      <c r="A37" s="228" t="n">
        <v>46062</v>
      </c>
      <c r="B37" s="645" t="inlineStr">
        <is>
          <t>24和赢众鑫ABN002次A</t>
        </is>
      </c>
      <c r="C37" s="642" t="n"/>
      <c r="D37" s="642">
        <f>1350*1.08795</f>
        <v/>
      </c>
      <c r="E37" s="572">
        <f>+E36+C37-D37</f>
        <v/>
      </c>
      <c r="F37" s="0" t="inlineStr">
        <is>
          <t>2、082480882.IB 24和赢众鑫ABN002次A 1350w 净价=全价108.795 中信证券 to 外贸信托朗瑞1号5期（孟亚琪，2881131472），发中信证券（林秋益，3004157238）请求</t>
        </is>
      </c>
      <c r="K37" s="117" t="n"/>
    </row>
    <row r="38">
      <c r="A38" s="234" t="n"/>
      <c r="B38" s="646" t="n"/>
      <c r="C38" s="644" t="n"/>
      <c r="D38" s="644" t="n"/>
      <c r="E38" s="563">
        <f>+E37+C38-D38</f>
        <v/>
      </c>
      <c r="K38" s="117" t="n"/>
    </row>
    <row r="39">
      <c r="A39" s="228" t="n">
        <v>46077</v>
      </c>
      <c r="B39" s="645" t="inlineStr">
        <is>
          <t>回款</t>
        </is>
      </c>
      <c r="C39" s="642" t="n">
        <v>4.25</v>
      </c>
      <c r="D39" s="642" t="n"/>
      <c r="E39" s="572">
        <f>+E38+C39-D39</f>
        <v/>
      </c>
      <c r="K39" s="117" t="n"/>
    </row>
    <row r="40">
      <c r="A40" s="228" t="n">
        <v>46078</v>
      </c>
      <c r="B40" s="645" t="inlineStr">
        <is>
          <t>回款</t>
        </is>
      </c>
      <c r="C40" s="642" t="n">
        <v>32.5</v>
      </c>
      <c r="D40" s="642" t="n"/>
      <c r="E40" s="572">
        <f>+E39+C40-D40</f>
        <v/>
      </c>
      <c r="K40" s="117" t="n"/>
    </row>
    <row r="41">
      <c r="A41" s="228" t="n"/>
      <c r="B41" s="645" t="n"/>
      <c r="C41" s="642" t="n"/>
      <c r="D41" s="642" t="n"/>
      <c r="E41" s="572">
        <f>+E40+C41-D41</f>
        <v/>
      </c>
      <c r="K41" s="117" t="n"/>
    </row>
    <row r="42">
      <c r="A42" s="228" t="n"/>
      <c r="B42" s="645" t="n"/>
      <c r="C42" s="642" t="n"/>
      <c r="D42" s="642" t="n"/>
      <c r="E42" s="572">
        <f>+E41+C42-D42</f>
        <v/>
      </c>
      <c r="K42" s="117" t="n"/>
    </row>
    <row r="43">
      <c r="A43" s="228" t="n">
        <v>46079</v>
      </c>
      <c r="B43" s="645" t="inlineStr">
        <is>
          <t>回款</t>
        </is>
      </c>
      <c r="C43" s="647" t="n">
        <v>2435</v>
      </c>
      <c r="D43" s="642" t="n"/>
      <c r="E43" s="572">
        <f>+E42+C43-D43</f>
        <v/>
      </c>
    </row>
    <row r="44">
      <c r="A44" s="228" t="n">
        <v>46080</v>
      </c>
      <c r="B44" s="645" t="inlineStr">
        <is>
          <t>回款</t>
        </is>
      </c>
      <c r="C44" s="642" t="n">
        <v>542</v>
      </c>
      <c r="D44" s="642" t="n"/>
      <c r="E44" s="572">
        <f>+E43+C44-D44</f>
        <v/>
      </c>
    </row>
    <row r="45">
      <c r="A45" s="228" t="n">
        <v>46080</v>
      </c>
      <c r="B45" s="645" t="inlineStr">
        <is>
          <t>元康9号申购</t>
        </is>
      </c>
      <c r="C45" s="642" t="n">
        <v>200</v>
      </c>
      <c r="D45" s="644" t="n"/>
      <c r="E45" s="563">
        <f>+E44+C45-D45</f>
        <v/>
      </c>
    </row>
    <row r="46">
      <c r="A46" s="234" t="n"/>
      <c r="B46" s="646" t="n"/>
      <c r="C46" s="644" t="n"/>
      <c r="D46" s="644" t="n"/>
      <c r="E46" s="563">
        <f>+E45+C46-D46</f>
        <v/>
      </c>
    </row>
    <row r="47">
      <c r="A47" s="228" t="n">
        <v>46080</v>
      </c>
      <c r="B47" s="645" t="inlineStr">
        <is>
          <t>元康盛景30号</t>
        </is>
      </c>
      <c r="C47" s="642" t="n">
        <v>400</v>
      </c>
      <c r="D47" s="642" t="n"/>
      <c r="E47" s="572">
        <f>+E46+C47-D47</f>
        <v/>
      </c>
    </row>
    <row r="48">
      <c r="A48" s="228" t="n"/>
      <c r="B48" s="645" t="n"/>
      <c r="C48" s="642" t="n"/>
      <c r="D48" s="642" t="n"/>
      <c r="E48" s="572">
        <f>+E47+C48-D48</f>
        <v/>
      </c>
    </row>
    <row r="49">
      <c r="A49" s="228" t="n"/>
      <c r="B49" s="645" t="n"/>
      <c r="C49" s="642" t="n"/>
      <c r="D49" s="642" t="n"/>
      <c r="E49" s="572">
        <f>+E48+C49-D49</f>
        <v/>
      </c>
    </row>
    <row r="50">
      <c r="A50" s="228" t="n"/>
      <c r="B50" s="645" t="n"/>
      <c r="C50" s="642" t="n"/>
      <c r="D50" s="642" t="n"/>
      <c r="E50" s="572">
        <f>+E49+C50-D50</f>
        <v/>
      </c>
    </row>
    <row r="51">
      <c r="A51" s="228" t="n">
        <v>46080</v>
      </c>
      <c r="B51" s="645" t="inlineStr">
        <is>
          <t>元康盛景1号赎回</t>
        </is>
      </c>
      <c r="C51" s="642" t="n"/>
      <c r="D51" s="642" t="n">
        <v>201</v>
      </c>
      <c r="E51" s="572">
        <f>+E50+C51-D51</f>
        <v/>
      </c>
    </row>
    <row r="52">
      <c r="A52" s="228" t="n">
        <v>46083</v>
      </c>
      <c r="B52" s="645" t="inlineStr">
        <is>
          <t>16中盈1C</t>
        </is>
      </c>
      <c r="C52" s="642" t="n"/>
      <c r="D52" s="642">
        <f>6000*21.9792%</f>
        <v/>
      </c>
      <c r="E52" s="572">
        <f>+E51+C52-D52</f>
        <v/>
      </c>
      <c r="F52" s="0" t="inlineStr">
        <is>
          <t>2/27 16中盈1C 60万份（6000w面值） 21.9792元 天风to 外贸信托朗瑞1号5期（孟亚琪，2881131472）</t>
        </is>
      </c>
    </row>
    <row r="53">
      <c r="A53" s="228" t="n"/>
      <c r="B53" s="645" t="inlineStr">
        <is>
          <t>16中盈2C</t>
        </is>
      </c>
      <c r="C53" s="642" t="n"/>
      <c r="D53" s="642">
        <f>4500*27.6614%</f>
        <v/>
      </c>
      <c r="E53" s="572">
        <f>+E52+C53-D53</f>
        <v/>
      </c>
      <c r="F53" s="0" t="inlineStr">
        <is>
          <t>2/27 16中盈2C 45万份（4500万面值） 27.6614元 天风 to 外贸信托朗瑞1号5期（孟亚琪，2881131472）</t>
        </is>
      </c>
    </row>
    <row r="54">
      <c r="A54" s="228" t="n">
        <v>46084</v>
      </c>
      <c r="B54" s="645" t="inlineStr">
        <is>
          <t>元康盛景1号赎回</t>
        </is>
      </c>
      <c r="C54" s="642" t="n"/>
      <c r="D54" s="642" t="n">
        <v>952</v>
      </c>
      <c r="E54" s="572">
        <f>+E53+C54-D54</f>
        <v/>
      </c>
    </row>
    <row r="55">
      <c r="A55" s="228" t="n"/>
      <c r="B55" s="268" t="n"/>
      <c r="C55" s="112" t="n"/>
      <c r="D55" s="112" t="n"/>
      <c r="E55" s="572">
        <f>+E54+C55-D55</f>
        <v/>
      </c>
      <c r="F55" s="217" t="n"/>
    </row>
    <row r="56">
      <c r="A56" s="156" t="n">
        <v>46085</v>
      </c>
      <c r="B56" s="645" t="inlineStr">
        <is>
          <t>元康盛景29号申购</t>
        </is>
      </c>
      <c r="C56" s="112" t="n">
        <v>5</v>
      </c>
      <c r="D56" s="112" t="n"/>
      <c r="E56" s="572">
        <f>+E55+C56-D56</f>
        <v/>
      </c>
    </row>
    <row r="57">
      <c r="A57" s="156" t="n">
        <v>46091</v>
      </c>
      <c r="B57" s="645" t="inlineStr">
        <is>
          <t>慧聚领航1号</t>
        </is>
      </c>
      <c r="C57" s="576">
        <f>慧聚领航1号!D6</f>
        <v/>
      </c>
      <c r="D57" s="112" t="n"/>
      <c r="E57" s="572">
        <f>+E56+C57-D57</f>
        <v/>
      </c>
      <c r="I57" s="0" t="inlineStr">
        <is>
          <t>25锦新小微ABN002次</t>
        </is>
      </c>
      <c r="J57" s="464">
        <f>XIRR(J58:J59,I58:I59)</f>
        <v/>
      </c>
    </row>
    <row r="58">
      <c r="E58" s="563">
        <f>+E57+C58-D58</f>
        <v/>
      </c>
      <c r="I58" s="1" t="n">
        <v>45820</v>
      </c>
      <c r="J58" s="0" t="n">
        <v>-100</v>
      </c>
    </row>
    <row r="59">
      <c r="A59" s="156" t="n">
        <v>46094</v>
      </c>
      <c r="B59" s="112" t="inlineStr">
        <is>
          <t>元康20号追加</t>
        </is>
      </c>
      <c r="C59" s="112" t="n">
        <v>750</v>
      </c>
      <c r="D59" s="112" t="n"/>
      <c r="E59" s="572">
        <f>+E58+C59-D59</f>
        <v/>
      </c>
      <c r="I59" s="117" t="n">
        <v>46094</v>
      </c>
      <c r="J59" s="0">
        <f>-J58*(1+5.8%*(I59-I58)/365)</f>
        <v/>
      </c>
    </row>
    <row r="60">
      <c r="A60" s="156" t="n">
        <v>46094</v>
      </c>
      <c r="B60" s="218" t="inlineStr">
        <is>
          <t>25锦新小微ABN002次</t>
        </is>
      </c>
      <c r="C60" s="112" t="n"/>
      <c r="D60" s="112" t="n">
        <v>1044</v>
      </c>
      <c r="E60" s="572">
        <f>+E59+C60-D60</f>
        <v/>
      </c>
    </row>
    <row r="61">
      <c r="A61" s="156" t="n">
        <v>46099</v>
      </c>
      <c r="B61" s="112" t="inlineStr">
        <is>
          <t>元康17号申购</t>
        </is>
      </c>
      <c r="C61" s="112" t="n">
        <v>600</v>
      </c>
      <c r="D61" s="112" t="n"/>
      <c r="E61" s="572">
        <f>+E60+C61-D61</f>
        <v/>
      </c>
    </row>
    <row r="62">
      <c r="A62" s="156" t="n">
        <v>46099</v>
      </c>
      <c r="B62" s="645" t="inlineStr">
        <is>
          <t>20招银和家7C</t>
        </is>
      </c>
      <c r="C62" s="112" t="n"/>
      <c r="D62" s="112">
        <f>400*141.9%</f>
        <v/>
      </c>
      <c r="E62" s="572" t="n">
        <v>59</v>
      </c>
      <c r="F62" s="0" t="inlineStr">
        <is>
          <t>3-18 20招银和家7C（2089441.IB） 400万份（40000万面值） 141.9元 国泰海通 冉雅婷 2881971956 to 外贸信托朗瑞1号5期（孟亚琪，2881131472）</t>
        </is>
      </c>
    </row>
    <row r="63">
      <c r="A63" s="4" t="n">
        <v>46100</v>
      </c>
      <c r="B63" s="646" t="inlineStr">
        <is>
          <t>兑付</t>
        </is>
      </c>
      <c r="C63" s="0" t="n">
        <v>28</v>
      </c>
      <c r="E63" s="563" t="n">
        <v>69.40000000000001</v>
      </c>
      <c r="I63" s="117" t="n"/>
    </row>
    <row r="64">
      <c r="A64" s="156" t="n">
        <v>46101</v>
      </c>
      <c r="B64" s="645" t="inlineStr">
        <is>
          <t>25锦新小微ABN002次兑付</t>
        </is>
      </c>
      <c r="C64" s="112">
        <f>1000*104.4652%</f>
        <v/>
      </c>
      <c r="D64" s="112" t="n"/>
      <c r="E64" s="572">
        <f>+E63+C64-D64</f>
        <v/>
      </c>
      <c r="I64" s="117" t="n"/>
    </row>
    <row r="65">
      <c r="A65" s="156" t="n">
        <v>46104</v>
      </c>
      <c r="B65" s="645" t="inlineStr">
        <is>
          <t>元康盛景20号赎回</t>
        </is>
      </c>
      <c r="C65" s="112" t="n"/>
      <c r="D65" s="112" t="n">
        <v>1000</v>
      </c>
      <c r="E65" s="572">
        <f>+E64+C65-D65</f>
        <v/>
      </c>
      <c r="I65" s="117" t="n"/>
    </row>
    <row r="66">
      <c r="A66" s="156" t="n">
        <v>46104</v>
      </c>
      <c r="B66" s="645" t="inlineStr">
        <is>
          <t>兑付回款</t>
        </is>
      </c>
      <c r="C66" s="112" t="n">
        <v>3.8</v>
      </c>
      <c r="D66" s="112" t="n"/>
      <c r="E66" s="572">
        <f>+E65+C66-D66</f>
        <v/>
      </c>
      <c r="I66" s="117" t="n"/>
    </row>
    <row r="67">
      <c r="A67" s="156" t="n">
        <v>46104</v>
      </c>
      <c r="B67" s="218" t="inlineStr">
        <is>
          <t>元康20申购</t>
        </is>
      </c>
      <c r="C67" s="112" t="n">
        <v>1300</v>
      </c>
      <c r="D67" s="112" t="n"/>
      <c r="E67" s="572">
        <f>+E66+C67-D67</f>
        <v/>
      </c>
      <c r="I67" s="117" t="n"/>
    </row>
    <row r="68">
      <c r="A68" s="156" t="n">
        <v>46104</v>
      </c>
      <c r="B68" s="218" t="inlineStr">
        <is>
          <t>元康1申购</t>
        </is>
      </c>
      <c r="C68" s="112" t="n">
        <v>700</v>
      </c>
      <c r="D68" s="112" t="n"/>
      <c r="E68" s="572">
        <f>+E67+C68-D68</f>
        <v/>
      </c>
      <c r="I68" s="117" t="n"/>
    </row>
    <row r="69">
      <c r="A69" s="156" t="n">
        <v>46104</v>
      </c>
      <c r="B69" s="218" t="inlineStr">
        <is>
          <t>元康29号申购</t>
        </is>
      </c>
      <c r="C69" s="112" t="n">
        <v>300</v>
      </c>
      <c r="D69" s="112" t="n"/>
      <c r="E69" s="572">
        <f>+E68+C69-D69</f>
        <v/>
      </c>
      <c r="I69" s="117" t="n"/>
    </row>
    <row r="70">
      <c r="A70" s="156" t="n">
        <v>46105</v>
      </c>
      <c r="B70" s="645" t="inlineStr">
        <is>
          <t xml:space="preserve">26浩澜ABN001次[082680155.IB] </t>
        </is>
      </c>
      <c r="C70" s="112" t="n"/>
      <c r="D70" s="112" t="n">
        <v>2021</v>
      </c>
      <c r="E70" s="572">
        <f>+E69+C70-D70</f>
        <v/>
      </c>
      <c r="F70" s="0" t="inlineStr">
        <is>
          <t>3/24， 26浩澜ABN001次[082680155.IB]  2000W 净价/全价  101.08  xx to 外贸信托朗瑞1号5期  孟亚琪qt 2881131472</t>
        </is>
      </c>
      <c r="I70" s="117" t="n"/>
    </row>
    <row r="71">
      <c r="A71" s="156" t="n">
        <v>46105</v>
      </c>
      <c r="B71" s="645" t="inlineStr">
        <is>
          <t>24易鑫恒通ABN001优先B</t>
        </is>
      </c>
      <c r="C71" s="112" t="n"/>
      <c r="D71" s="112" t="n">
        <v>305</v>
      </c>
      <c r="E71" s="572" t="n">
        <v>90.3</v>
      </c>
      <c r="F71" s="0" t="inlineStr">
        <is>
          <t>3/24， 082481523.IB  24易鑫恒通ABN001优先B 300W 净价  101.36 国泰海通 to 外贸信托朗瑞1号5期  孟亚琪qt 2881131472</t>
        </is>
      </c>
      <c r="I71" s="117" t="n"/>
    </row>
    <row r="72">
      <c r="A72" s="156" t="n">
        <v>46107</v>
      </c>
      <c r="B72" s="645" t="inlineStr">
        <is>
          <t>回款</t>
        </is>
      </c>
      <c r="C72" s="112" t="n">
        <v>206</v>
      </c>
      <c r="D72" s="112" t="n"/>
      <c r="E72" s="572">
        <f>+E71+C72-D72</f>
        <v/>
      </c>
      <c r="I72" s="117" t="n"/>
    </row>
    <row r="73">
      <c r="A73" s="156" t="n">
        <v>46107</v>
      </c>
      <c r="B73" s="645" t="inlineStr">
        <is>
          <t>温州回款</t>
        </is>
      </c>
      <c r="C73" s="112" t="n">
        <v>605</v>
      </c>
      <c r="D73" s="112" t="n"/>
      <c r="E73" s="572">
        <f>+E72+C73-D73</f>
        <v/>
      </c>
    </row>
    <row r="74">
      <c r="A74" s="156" t="n"/>
      <c r="B74" s="645" t="n"/>
      <c r="C74" s="112" t="n"/>
      <c r="D74" s="112" t="n"/>
      <c r="E74" s="572">
        <f>+E73+C74-D74</f>
        <v/>
      </c>
    </row>
    <row r="75">
      <c r="A75" s="156" t="n">
        <v>46108</v>
      </c>
      <c r="B75" s="645" t="inlineStr">
        <is>
          <t>24和赢众鑫ABN001优先B</t>
        </is>
      </c>
      <c r="C75" s="112" t="n">
        <v>450</v>
      </c>
      <c r="D75" s="112" t="n"/>
      <c r="E75" s="572" t="n">
        <v>1386</v>
      </c>
    </row>
    <row r="76">
      <c r="A76" s="156" t="n">
        <v>46111</v>
      </c>
      <c r="B76" s="645" t="inlineStr">
        <is>
          <t>24美团美玥ABN001次</t>
        </is>
      </c>
      <c r="C76" s="112" t="n">
        <v>2173.5</v>
      </c>
      <c r="D76" s="112" t="n"/>
      <c r="E76" s="572">
        <f>+E75+C76-D76</f>
        <v/>
      </c>
    </row>
    <row r="77">
      <c r="A77" s="156" t="n">
        <v>46111</v>
      </c>
      <c r="B77" s="645" t="inlineStr">
        <is>
          <t>元康17追加</t>
        </is>
      </c>
      <c r="C77" s="112" t="n">
        <v>600</v>
      </c>
      <c r="D77" s="112" t="n"/>
      <c r="E77" s="572">
        <f>+E76+C77-D77</f>
        <v/>
      </c>
    </row>
    <row r="78">
      <c r="A78" s="156" t="n">
        <v>46111</v>
      </c>
      <c r="B78" s="112" t="inlineStr">
        <is>
          <t>元康20号赎回</t>
        </is>
      </c>
      <c r="C78" s="112" t="n"/>
      <c r="D78" s="112" t="n">
        <v>3622.0022</v>
      </c>
      <c r="E78" s="572">
        <f>+E77+C78-D78</f>
        <v/>
      </c>
      <c r="I78" s="587" t="inlineStr">
        <is>
          <t>25美团美好ABN002次</t>
        </is>
      </c>
      <c r="J78" s="464">
        <f>XIRR(J79:J81,I79:I81)</f>
        <v/>
      </c>
    </row>
    <row r="79">
      <c r="A79" s="156" t="n"/>
      <c r="B79" s="112" t="n"/>
      <c r="C79" s="112" t="n"/>
      <c r="D79" s="112" t="n"/>
      <c r="E79" s="572">
        <f>+E78+C79-D79</f>
        <v/>
      </c>
      <c r="I79" s="266" t="n">
        <v>45994</v>
      </c>
      <c r="J79" s="565" t="n">
        <v>-102.105</v>
      </c>
    </row>
    <row r="80">
      <c r="A80" s="156" t="n">
        <v>46121</v>
      </c>
      <c r="B80" s="648" t="inlineStr">
        <is>
          <t>元康17</t>
        </is>
      </c>
      <c r="C80" s="417" t="n">
        <v>1000</v>
      </c>
      <c r="D80" s="112" t="n"/>
      <c r="E80" s="572">
        <f>+E79+C80-D80</f>
        <v/>
      </c>
      <c r="I80" s="266" t="n">
        <v>46122</v>
      </c>
      <c r="J80" s="565" t="n">
        <v>103.52</v>
      </c>
    </row>
    <row r="81">
      <c r="A81" s="156" t="n">
        <v>46121</v>
      </c>
      <c r="B81" s="112" t="inlineStr">
        <is>
          <t>滴滴启橙</t>
        </is>
      </c>
      <c r="C81" s="112" t="n"/>
      <c r="D81" s="112" t="n">
        <v>475</v>
      </c>
      <c r="E81" s="572">
        <f>+E80+C81-D81</f>
        <v/>
      </c>
      <c r="F81" s="0" t="inlineStr">
        <is>
          <t>4/9日缴款，26启橙2号ABN001次（082601458.IB）475w，6%单利，朗瑞1号5期缴款</t>
        </is>
      </c>
      <c r="I81" s="266" t="n"/>
      <c r="J81" s="565" t="n"/>
    </row>
    <row r="82">
      <c r="A82" s="156" t="n">
        <v>46122</v>
      </c>
      <c r="B82" s="648" t="inlineStr">
        <is>
          <t>鼎柚25-3</t>
        </is>
      </c>
      <c r="C82" s="417" t="n"/>
      <c r="D82" s="112">
        <f>400*101.827/100</f>
        <v/>
      </c>
      <c r="E82" s="572">
        <f>+E81+C82-D82</f>
        <v/>
      </c>
      <c r="F82" s="0" t="inlineStr">
        <is>
          <t>25鼎柚3次级[2589212.IB]，400w，101.827，4月10日，国泰海通 冉雅婷 2881971956 to 外贸信托朗瑞1号5期  孟亚琪qt 2881131472</t>
        </is>
      </c>
    </row>
    <row r="83">
      <c r="A83" s="156" t="n">
        <v>46122</v>
      </c>
      <c r="B83" s="649" t="inlineStr">
        <is>
          <t>25美团美好ABN002次</t>
        </is>
      </c>
      <c r="C83" s="417" t="n"/>
      <c r="D83" s="112">
        <f>580*103.52/100</f>
        <v/>
      </c>
      <c r="E83" s="572">
        <f>+E82+C83-D83</f>
        <v/>
      </c>
      <c r="F83" s="0" t="inlineStr">
        <is>
          <t>25美团美好ABN002次[082580682.IB]，580w，103.52，4月10日，国泰海通 冉雅婷 2881971956 to 外贸信托朗瑞1号5期  孟亚琪qt 2881131472</t>
        </is>
      </c>
    </row>
    <row r="84">
      <c r="A84" s="156" t="n"/>
      <c r="B84" s="112" t="n"/>
      <c r="C84" s="578" t="n"/>
      <c r="D84" s="112" t="n"/>
      <c r="E84" s="572">
        <f>+E83+C84-D84</f>
        <v/>
      </c>
    </row>
    <row r="85">
      <c r="A85" s="156" t="n">
        <v>46125</v>
      </c>
      <c r="B85" s="112" t="inlineStr">
        <is>
          <t>税费</t>
        </is>
      </c>
      <c r="C85" s="578" t="n"/>
      <c r="D85" s="112" t="n">
        <v>6.3</v>
      </c>
      <c r="E85" s="572">
        <f>+E84+C85-D85</f>
        <v/>
      </c>
    </row>
    <row r="86">
      <c r="A86" s="156" t="n">
        <v>46129</v>
      </c>
      <c r="B86" s="112" t="inlineStr">
        <is>
          <t>深能源兑付</t>
        </is>
      </c>
      <c r="C86" s="578" t="n">
        <v>65</v>
      </c>
      <c r="D86" s="112" t="n"/>
      <c r="E86" s="572">
        <f>+E85+C86-D86</f>
        <v/>
      </c>
    </row>
    <row r="87">
      <c r="A87" s="156" t="n">
        <v>46132</v>
      </c>
      <c r="B87" s="112" t="inlineStr">
        <is>
          <t>和赢蔚能兑付</t>
        </is>
      </c>
      <c r="C87" s="417" t="n">
        <v>29.79</v>
      </c>
      <c r="D87" s="112" t="n"/>
      <c r="E87" s="572">
        <f>+E86+C87-D87</f>
        <v/>
      </c>
      <c r="G87" s="606" t="n"/>
    </row>
    <row r="88">
      <c r="A88" s="156" t="n">
        <v>46133</v>
      </c>
      <c r="B88" s="112" t="inlineStr">
        <is>
          <t>元康22号申购</t>
        </is>
      </c>
      <c r="C88" s="417" t="n">
        <v>2200</v>
      </c>
      <c r="D88" s="112" t="n"/>
      <c r="E88" s="572">
        <f>+E87+C88-D88</f>
        <v/>
      </c>
      <c r="G88" s="606" t="n"/>
    </row>
    <row r="89">
      <c r="A89" s="156" t="n">
        <v>46133</v>
      </c>
      <c r="B89" s="112" t="inlineStr">
        <is>
          <t>元康盛景1号赎回</t>
        </is>
      </c>
      <c r="C89" s="112" t="n"/>
      <c r="D89" s="112" t="n">
        <v>801</v>
      </c>
      <c r="E89" s="572">
        <f>+E88+C89-D89</f>
        <v/>
      </c>
      <c r="F89" s="562" t="inlineStr">
        <is>
          <t>已发</t>
        </is>
      </c>
      <c r="G89" s="606" t="n"/>
    </row>
    <row r="90">
      <c r="A90" s="156" t="n">
        <v>46133</v>
      </c>
      <c r="B90" s="112" t="inlineStr">
        <is>
          <t>和赢蔚能ABN002、浩悦兑付</t>
        </is>
      </c>
      <c r="C90" s="112">
        <f>14.8+4.25</f>
        <v/>
      </c>
      <c r="D90" s="112" t="n"/>
      <c r="E90" s="572">
        <f>+E89+C90-D90</f>
        <v/>
      </c>
      <c r="F90" s="606" t="n"/>
      <c r="G90" s="606" t="n"/>
    </row>
    <row r="91">
      <c r="A91" s="156" t="n"/>
      <c r="B91" s="112" t="n"/>
      <c r="C91" s="576" t="n"/>
      <c r="D91" s="112" t="n"/>
      <c r="E91" s="572">
        <f>+E90+C91-D91</f>
        <v/>
      </c>
      <c r="F91" s="562" t="inlineStr">
        <is>
          <t>已发</t>
        </is>
      </c>
      <c r="G91" s="606">
        <f>+D91/1.4039</f>
        <v/>
      </c>
    </row>
    <row r="92">
      <c r="A92" s="156" t="n">
        <v>46139</v>
      </c>
      <c r="B92" s="112" t="inlineStr">
        <is>
          <t>兑付回款</t>
        </is>
      </c>
      <c r="C92" s="476" t="n">
        <v>815.6</v>
      </c>
      <c r="D92" s="112" t="n"/>
      <c r="E92" s="572">
        <f>+E91+C92-D92</f>
        <v/>
      </c>
      <c r="G92" s="606" t="n"/>
    </row>
    <row r="93">
      <c r="A93" s="156" t="n">
        <v>46139</v>
      </c>
      <c r="B93" s="112" t="inlineStr">
        <is>
          <t>慧聚领航1号赎回</t>
        </is>
      </c>
      <c r="C93" s="576" t="n"/>
      <c r="D93" s="112" t="n">
        <v>200</v>
      </c>
      <c r="E93" s="572">
        <f>+E92+C93-D93</f>
        <v/>
      </c>
      <c r="G93" s="606" t="n"/>
    </row>
    <row r="94">
      <c r="A94" s="156" t="n">
        <v>46139</v>
      </c>
      <c r="B94" s="112" t="inlineStr">
        <is>
          <t>25弗迪租赁ABN001次级(绿色)</t>
        </is>
      </c>
      <c r="C94" s="112" t="n"/>
      <c r="D94" s="112">
        <f>1900*1.005</f>
        <v/>
      </c>
      <c r="E94" s="572">
        <f>+E93+C94-D94</f>
        <v/>
      </c>
      <c r="F94" s="562" t="inlineStr">
        <is>
          <t>4/27+0,25弗迪租赁ABN001次级(绿色)[082580900.IB],1900w,全价100.5035  中金 李欣月3007455122  to 外贸信托朗瑞1号5期 孟亚琪</t>
        </is>
      </c>
    </row>
    <row r="95">
      <c r="A95" s="156" t="n"/>
      <c r="B95" s="112" t="n"/>
      <c r="C95" s="112" t="n"/>
      <c r="D95" s="112" t="n"/>
      <c r="E95" s="572">
        <f>+E94+C95-D95</f>
        <v/>
      </c>
    </row>
    <row r="96">
      <c r="A96" s="156" t="n"/>
      <c r="B96" s="112" t="n"/>
      <c r="C96" s="476" t="n"/>
      <c r="D96" s="112" t="n"/>
      <c r="E96" s="572">
        <f>+E95+C96-D96</f>
        <v/>
      </c>
    </row>
    <row r="97">
      <c r="A97" s="156" t="n"/>
      <c r="B97" s="112" t="n"/>
      <c r="C97" s="112" t="n"/>
      <c r="D97" s="112" t="n"/>
      <c r="E97" s="572">
        <f>+E96+C97-D97</f>
        <v/>
      </c>
      <c r="F97" s="563" t="n"/>
      <c r="G97" s="0" t="inlineStr">
        <is>
          <t>给鹏雅119</t>
        </is>
      </c>
      <c r="H97" s="0" t="inlineStr">
        <is>
          <t>4-24估值</t>
        </is>
      </c>
      <c r="K97" s="0" t="inlineStr">
        <is>
          <t>4/28估值</t>
        </is>
      </c>
      <c r="L97" s="0" t="inlineStr">
        <is>
          <t>起息日</t>
        </is>
      </c>
      <c r="M97" s="0" t="inlineStr">
        <is>
          <t>平价价格</t>
        </is>
      </c>
    </row>
    <row r="98">
      <c r="A98" s="156" t="n">
        <v>46140</v>
      </c>
      <c r="B98" s="483" t="inlineStr">
        <is>
          <t>24京东东裕3ABN002次</t>
        </is>
      </c>
      <c r="C98" s="576" t="n">
        <v>741.0871999999999</v>
      </c>
      <c r="D98" s="576" t="n"/>
      <c r="E98" s="572">
        <f>+E97+C98-D98</f>
        <v/>
      </c>
      <c r="F98" s="617" t="inlineStr">
        <is>
          <t>4/28，24京东东裕3ABN002次[082480853.IB]，700w，105.8696，外贸信托 孟亚琪 2881131472 to 中信证券</t>
        </is>
      </c>
      <c r="G98" s="650" t="n">
        <v>70000</v>
      </c>
      <c r="H98" s="0" t="n">
        <v>105.811</v>
      </c>
      <c r="I98" s="117" t="n">
        <v>46140</v>
      </c>
      <c r="J98" s="150" t="n">
        <v>0.058</v>
      </c>
      <c r="K98" s="0">
        <f>ROUND(H98+J98/365*4*100,4)</f>
        <v/>
      </c>
      <c r="L98" s="1" t="n">
        <v>45518</v>
      </c>
      <c r="M98" s="0">
        <f>100*(1+J98*(I98-L98)/365)-4</f>
        <v/>
      </c>
      <c r="N98" s="0">
        <f>+K98+0.005</f>
        <v/>
      </c>
      <c r="O98" s="0">
        <f>+N98-0.01</f>
        <v/>
      </c>
    </row>
    <row r="99">
      <c r="A99" s="156" t="n">
        <v>46140</v>
      </c>
      <c r="B99" s="483" t="inlineStr">
        <is>
          <t>24东裕5仲裕ABN001次</t>
        </is>
      </c>
      <c r="C99" s="576" t="n">
        <v>2093.132</v>
      </c>
      <c r="D99" s="112" t="n"/>
      <c r="E99" s="572">
        <f>+E98+C99-D99</f>
        <v/>
      </c>
      <c r="F99" s="617" t="inlineStr">
        <is>
          <t>4/28，24东裕5仲裕ABN001次[082481516.IB]，2000w，104.6566，外贸信托 孟亚琪 2881131472 to 中信证券</t>
        </is>
      </c>
      <c r="G99" s="650" t="n">
        <v>200000</v>
      </c>
      <c r="H99" s="0" t="n">
        <v>104.5991</v>
      </c>
      <c r="I99" s="117" t="n">
        <v>46140</v>
      </c>
      <c r="J99" s="150" t="n">
        <v>0.057</v>
      </c>
      <c r="K99" s="0">
        <f>ROUND(H99+J99/365*4*100,4)</f>
        <v/>
      </c>
      <c r="L99" s="1" t="n">
        <v>45596</v>
      </c>
      <c r="M99" s="0">
        <f>100*(1+J99*(I99-L99)/365)-4</f>
        <v/>
      </c>
      <c r="N99" s="0">
        <f>+K99+0.005</f>
        <v/>
      </c>
      <c r="O99" s="0">
        <f>+N99-0.01</f>
        <v/>
      </c>
    </row>
    <row r="100">
      <c r="A100" s="156" t="n"/>
      <c r="B100" s="112" t="n"/>
      <c r="C100" s="112" t="n"/>
      <c r="D100" s="112" t="n"/>
      <c r="E100" s="572">
        <f>+E99+C100-D100</f>
        <v/>
      </c>
    </row>
    <row r="101">
      <c r="A101" s="156" t="n">
        <v>46141</v>
      </c>
      <c r="B101" s="112" t="inlineStr">
        <is>
          <t>蔚能ABN</t>
        </is>
      </c>
      <c r="C101" s="112" t="n"/>
      <c r="D101" s="112" t="n">
        <v>2000</v>
      </c>
      <c r="E101" s="572">
        <f>+E100+C101-D101</f>
        <v/>
      </c>
      <c r="F101" s="562" t="inlineStr">
        <is>
          <t>已发</t>
        </is>
      </c>
    </row>
    <row r="102">
      <c r="A102" s="156" t="n">
        <v>46142</v>
      </c>
      <c r="B102" s="112" t="inlineStr">
        <is>
          <t>支付费用</t>
        </is>
      </c>
      <c r="C102" s="112" t="n"/>
      <c r="D102" s="112" t="n">
        <v>270.51</v>
      </c>
      <c r="E102" s="572">
        <f>+E101+C102-D102</f>
        <v/>
      </c>
    </row>
    <row r="103">
      <c r="A103" s="156" t="n"/>
      <c r="B103" s="112" t="n"/>
      <c r="C103" s="112" t="n"/>
      <c r="D103" s="112" t="n"/>
      <c r="E103" s="572">
        <f>+E102+C103-D103</f>
        <v/>
      </c>
    </row>
    <row r="104">
      <c r="A104" s="156" t="n">
        <v>46150</v>
      </c>
      <c r="B104" s="112" t="inlineStr">
        <is>
          <t>元康20号申购</t>
        </is>
      </c>
      <c r="C104" s="572" t="n">
        <v>700</v>
      </c>
      <c r="D104" s="112" t="n"/>
      <c r="E104" s="572">
        <f>+E103+C104-D104</f>
        <v/>
      </c>
      <c r="J104" s="117" t="n">
        <v>46135</v>
      </c>
      <c r="K104" s="117" t="n">
        <v>46134</v>
      </c>
    </row>
    <row r="105">
      <c r="A105" s="156" t="n"/>
      <c r="B105" s="112" t="n"/>
      <c r="C105" s="112" t="n"/>
      <c r="D105" s="112" t="n"/>
      <c r="E105" s="572">
        <f>+E104+C105-D105</f>
        <v/>
      </c>
      <c r="I105" s="0">
        <f>ROUND(K105+J98/365*2*100,4)</f>
        <v/>
      </c>
      <c r="J105" s="0" t="n">
        <v>105.7951</v>
      </c>
      <c r="K105" s="0" t="n">
        <v>105.7789</v>
      </c>
    </row>
    <row r="106">
      <c r="A106" s="156" t="n">
        <v>46150</v>
      </c>
      <c r="B106" s="112" t="inlineStr">
        <is>
          <t>元康9号赎回</t>
        </is>
      </c>
      <c r="C106" s="112" t="n"/>
      <c r="D106" s="112" t="n">
        <v>1201</v>
      </c>
      <c r="E106" s="572">
        <f>+E105+C106-D106</f>
        <v/>
      </c>
      <c r="I106" s="0">
        <f>ROUND(K106+J99/365*2*100,4)</f>
        <v/>
      </c>
      <c r="J106" s="0" t="n">
        <v>104.5817</v>
      </c>
      <c r="K106" s="0" t="n">
        <v>104.5658</v>
      </c>
    </row>
    <row r="107">
      <c r="A107" s="156" t="n"/>
      <c r="B107" s="112" t="n"/>
      <c r="C107" s="112" t="n"/>
      <c r="D107" s="112" t="n"/>
      <c r="E107" s="572">
        <f>+E106+C107-D107</f>
        <v/>
      </c>
    </row>
    <row r="108">
      <c r="A108" s="156" t="n">
        <v>46153</v>
      </c>
      <c r="B108" s="112" t="inlineStr">
        <is>
          <t>回款</t>
        </is>
      </c>
      <c r="C108" s="112" t="n">
        <v>76.7</v>
      </c>
      <c r="D108" s="112" t="n"/>
      <c r="E108" s="572">
        <f>+E107+C108-D108</f>
        <v/>
      </c>
    </row>
    <row r="109">
      <c r="E109" s="563">
        <f>+E108+C109-D109</f>
        <v/>
      </c>
    </row>
    <row r="110">
      <c r="E110" s="563">
        <f>+E109+C110-D110</f>
        <v/>
      </c>
    </row>
    <row r="111">
      <c r="A111" s="4" t="inlineStr">
        <is>
          <t>待定</t>
        </is>
      </c>
      <c r="B111" s="0" t="inlineStr">
        <is>
          <t>支付费用</t>
        </is>
      </c>
      <c r="D111" s="0" t="n">
        <v>190</v>
      </c>
      <c r="E111" s="563">
        <f>+E110+C111-D111</f>
        <v/>
      </c>
    </row>
    <row r="112">
      <c r="E112" s="563">
        <f>+E111+C112-D112</f>
        <v/>
      </c>
    </row>
    <row r="113">
      <c r="A113" s="4" t="n">
        <v>46164</v>
      </c>
      <c r="B113" s="0" t="inlineStr">
        <is>
          <t>元康20号申购</t>
        </is>
      </c>
      <c r="C113" s="0" t="n">
        <v>1100</v>
      </c>
      <c r="E113" s="563">
        <f>+E112+C113-D113</f>
        <v/>
      </c>
    </row>
    <row r="114">
      <c r="A114" s="4" t="n">
        <v>46164</v>
      </c>
      <c r="B114" s="0" t="inlineStr">
        <is>
          <t>元康17号赎回</t>
        </is>
      </c>
      <c r="D114" s="0" t="n">
        <v>1200</v>
      </c>
      <c r="E114" s="563">
        <f>+E113+C114-D114</f>
        <v/>
      </c>
      <c r="F114" s="0" t="inlineStr">
        <is>
          <t>519发出，520申请</t>
        </is>
      </c>
    </row>
    <row r="115">
      <c r="E115" s="563">
        <f>+E114+C115-D115</f>
        <v/>
      </c>
    </row>
    <row r="116">
      <c r="A116" s="4" t="n">
        <v>46169</v>
      </c>
      <c r="B116" s="0" t="inlineStr">
        <is>
          <t>预计兑付回款</t>
        </is>
      </c>
      <c r="C116" s="0" t="n">
        <v>300</v>
      </c>
      <c r="E116" s="563">
        <f>+E115+C116-D116</f>
        <v/>
      </c>
    </row>
    <row r="117">
      <c r="E117" s="563">
        <f>+E116+C117-D117</f>
        <v/>
      </c>
    </row>
    <row r="118">
      <c r="A118" s="4" t="n">
        <v>46169</v>
      </c>
      <c r="B118" s="0" t="inlineStr">
        <is>
          <t>元康17号赎回</t>
        </is>
      </c>
      <c r="D118" s="0" t="n">
        <v>300</v>
      </c>
      <c r="E118" s="563">
        <f>+E117+C118-D118</f>
        <v/>
      </c>
      <c r="F118" s="0" t="inlineStr">
        <is>
          <t>522发出，525申请</t>
        </is>
      </c>
    </row>
    <row r="119">
      <c r="E119" s="563">
        <f>+E118+C119-D119</f>
        <v/>
      </c>
    </row>
    <row r="120">
      <c r="E120" s="563">
        <f>+E119+C120-D120</f>
        <v/>
      </c>
    </row>
    <row r="121">
      <c r="E121" s="563">
        <f>+E120+C121-D121</f>
        <v/>
      </c>
    </row>
    <row r="122">
      <c r="E122" s="563">
        <f>+E121+C122-D122</f>
        <v/>
      </c>
    </row>
    <row r="123">
      <c r="E123" s="563">
        <f>+E122+C123-D123</f>
        <v/>
      </c>
    </row>
    <row r="124">
      <c r="E124" s="563">
        <f>+E123+C124-D124</f>
        <v/>
      </c>
    </row>
  </sheetData>
  <conditionalFormatting sqref="B98:B99">
    <cfRule type="duplicateValues" priority="3" dxfId="0"/>
  </conditionalFormatting>
  <conditionalFormatting sqref="E1:E1048576">
    <cfRule type="cellIs" priority="1" operator="lessThan" dxfId="0">
      <formula>0</formula>
    </cfRule>
  </conditionalFormatting>
  <pageMargins left="0.7" right="0.7" top="0.75" bottom="0.75" header="0.3" footer="0.3"/>
  <pageSetup orientation="portrait" paperSize="9"/>
</worksheet>
</file>

<file path=xl/worksheets/sheet18.xml><?xml version="1.0" encoding="utf-8"?>
<worksheet xmlns="http://schemas.openxmlformats.org/spreadsheetml/2006/main">
  <sheetPr codeName="Sheet14">
    <outlinePr summaryBelow="1" summaryRight="1"/>
    <pageSetUpPr/>
  </sheetPr>
  <dimension ref="A1:N35"/>
  <sheetViews>
    <sheetView workbookViewId="0">
      <pane ySplit="2" topLeftCell="A15" activePane="bottomLeft" state="frozen"/>
      <selection pane="bottomLeft" activeCell="E1" sqref="E1:E1048576"/>
    </sheetView>
  </sheetViews>
  <sheetFormatPr baseColWidth="8" defaultRowHeight="16.5"/>
  <cols>
    <col width="15.875" customWidth="1" style="4" min="1" max="1"/>
    <col width="9.5" customWidth="1" style="217" min="2" max="2"/>
    <col width="11.625" customWidth="1" style="326" min="3" max="3"/>
    <col width="10.125" customWidth="1" style="326" min="4" max="4"/>
    <col width="8.75" bestFit="1" customWidth="1" style="563" min="5" max="5"/>
    <col width="11.125" bestFit="1" customWidth="1" style="326" min="9" max="9"/>
  </cols>
  <sheetData>
    <row r="1">
      <c r="A1" s="10" t="n"/>
      <c r="B1" s="307" t="n"/>
      <c r="C1" s="10" t="n"/>
      <c r="D1" s="10" t="n"/>
      <c r="E1" s="10" t="n"/>
    </row>
    <row r="2">
      <c r="A2" s="4" t="inlineStr">
        <is>
          <t>日期</t>
        </is>
      </c>
      <c r="B2" s="217" t="inlineStr">
        <is>
          <t>现金流类型</t>
        </is>
      </c>
      <c r="C2" s="0" t="inlineStr">
        <is>
          <t>现金流入</t>
        </is>
      </c>
      <c r="D2" s="0" t="inlineStr">
        <is>
          <t>现金流出</t>
        </is>
      </c>
      <c r="E2" s="563" t="inlineStr">
        <is>
          <t>期末余额</t>
        </is>
      </c>
    </row>
    <row r="3">
      <c r="A3" s="4" t="n">
        <v>46036</v>
      </c>
      <c r="E3" s="563" t="n">
        <v>73</v>
      </c>
    </row>
    <row r="4">
      <c r="E4" s="563">
        <f>+E3+C4-D4</f>
        <v/>
      </c>
    </row>
    <row r="5">
      <c r="A5" s="156" t="n">
        <v>46090</v>
      </c>
      <c r="B5" s="316" t="inlineStr">
        <is>
          <t>元康1号申购</t>
        </is>
      </c>
      <c r="C5" s="112" t="n">
        <v>550</v>
      </c>
      <c r="D5" s="112" t="n"/>
      <c r="E5" s="572">
        <f>+E4+C5-D5</f>
        <v/>
      </c>
    </row>
    <row r="6">
      <c r="A6" s="156" t="n">
        <v>46090</v>
      </c>
      <c r="B6" s="651" t="inlineStr">
        <is>
          <t>元康20号申购</t>
        </is>
      </c>
      <c r="C6" s="112" t="n">
        <v>2200</v>
      </c>
      <c r="D6" s="112" t="n"/>
      <c r="E6" s="572">
        <f>+E5+C6-D6</f>
        <v/>
      </c>
      <c r="F6" s="0" t="inlineStr">
        <is>
          <t>等等一些二级交易谈判</t>
        </is>
      </c>
    </row>
    <row r="7">
      <c r="A7" s="156" t="n">
        <v>46090</v>
      </c>
      <c r="B7" s="651" t="inlineStr">
        <is>
          <t>元康17申购</t>
        </is>
      </c>
      <c r="C7" s="112" t="n">
        <v>600</v>
      </c>
      <c r="D7" s="112" t="n"/>
      <c r="E7" s="572">
        <f>+E6+C7-D7</f>
        <v/>
      </c>
    </row>
    <row r="8">
      <c r="A8" s="156" t="n">
        <v>46090</v>
      </c>
      <c r="B8" s="651" t="inlineStr">
        <is>
          <t>元康9号申购</t>
        </is>
      </c>
      <c r="C8" s="112" t="n">
        <v>850</v>
      </c>
      <c r="D8" s="112" t="n"/>
      <c r="E8" s="572">
        <f>+E7+C8-D8</f>
        <v/>
      </c>
    </row>
    <row r="9">
      <c r="A9" s="156" t="n">
        <v>46090</v>
      </c>
      <c r="B9" s="651" t="inlineStr">
        <is>
          <t>元康30号申购</t>
        </is>
      </c>
      <c r="C9" s="112" t="n">
        <v>340</v>
      </c>
      <c r="D9" s="112" t="n"/>
      <c r="E9" s="572">
        <f>+E8+C9-D9</f>
        <v/>
      </c>
    </row>
    <row r="10">
      <c r="A10" s="156" t="n">
        <v>46091</v>
      </c>
      <c r="B10" s="218" t="inlineStr">
        <is>
          <t>26锦新小微ABN003次</t>
        </is>
      </c>
      <c r="C10" s="112" t="n"/>
      <c r="D10" s="112" t="n">
        <v>3000</v>
      </c>
      <c r="E10" s="572">
        <f>+E9+C10-D10</f>
        <v/>
      </c>
      <c r="F10" s="0" t="inlineStr">
        <is>
          <t>1、26锦新小微ABN003次，082680149，3月10日缴款，1000w，中金分销，朗瑞1-7缴款，单利5.7%，期限10个月左右非现</t>
        </is>
      </c>
    </row>
    <row r="11">
      <c r="A11" s="156" t="n"/>
      <c r="B11" s="316" t="n"/>
      <c r="C11" s="652" t="n"/>
      <c r="D11" s="611" t="n"/>
      <c r="E11" s="572">
        <f>+E10+C11-D11</f>
        <v/>
      </c>
      <c r="F11" s="0" t="inlineStr">
        <is>
          <t>2、26锦新小微ABN003次，082680149，3月10日缴款，2000w，自持部分，朗瑞1-7缴款，单利5.7%，期限10个月左右非现</t>
        </is>
      </c>
    </row>
    <row r="12">
      <c r="A12" s="341" t="n"/>
      <c r="B12" s="342" t="n"/>
      <c r="C12" s="341" t="n"/>
      <c r="D12" s="611" t="n"/>
      <c r="E12" s="572">
        <f>+E11+C12-D12</f>
        <v/>
      </c>
    </row>
    <row r="13">
      <c r="A13" s="341" t="n"/>
      <c r="B13" s="316" t="n"/>
      <c r="C13" s="652" t="n"/>
      <c r="D13" s="611" t="n"/>
      <c r="E13" s="572">
        <f>+E12+C13-D13</f>
        <v/>
      </c>
    </row>
    <row r="14">
      <c r="A14" s="341" t="n"/>
      <c r="B14" s="653" t="n"/>
      <c r="C14" s="611" t="n"/>
      <c r="D14" s="611" t="n"/>
      <c r="E14" s="572">
        <f>+E13+C14-D14</f>
        <v/>
      </c>
      <c r="F14" s="0" t="inlineStr">
        <is>
          <t>从外贸元康盛景1号赎回的资金</t>
        </is>
      </c>
    </row>
    <row r="15">
      <c r="A15" s="156" t="n">
        <v>46100</v>
      </c>
      <c r="B15" s="218" t="inlineStr">
        <is>
          <t>元康17号</t>
        </is>
      </c>
      <c r="C15" s="112" t="n">
        <v>1700</v>
      </c>
      <c r="D15" s="112" t="n"/>
      <c r="E15" s="572">
        <f>+E14+C15-D15</f>
        <v/>
      </c>
    </row>
    <row r="16">
      <c r="A16" s="156" t="n">
        <v>46100</v>
      </c>
      <c r="B16" s="653" t="inlineStr">
        <is>
          <t>元康9号申购</t>
        </is>
      </c>
      <c r="C16" s="611" t="n">
        <v>300</v>
      </c>
      <c r="D16" s="112" t="n"/>
      <c r="E16" s="572">
        <f>+E15+C16-D16</f>
        <v/>
      </c>
    </row>
    <row r="17">
      <c r="A17" s="156" t="n"/>
      <c r="B17" s="218" t="n"/>
      <c r="C17" s="112" t="n"/>
      <c r="D17" s="112" t="n"/>
      <c r="E17" s="572">
        <f>+E16+C17-D17</f>
        <v/>
      </c>
    </row>
    <row r="18">
      <c r="A18" s="156" t="n">
        <v>46104</v>
      </c>
      <c r="B18" s="218" t="inlineStr">
        <is>
          <t>蔚能ABN次A</t>
        </is>
      </c>
      <c r="C18" s="112" t="n"/>
      <c r="D18" s="112" t="n">
        <v>3500</v>
      </c>
      <c r="E18" s="572">
        <f>+E17+C18-D18</f>
        <v/>
      </c>
      <c r="F18" s="0" t="inlineStr">
        <is>
          <t>26蔚能电池ABN001BC次A(绿色)，082680178，3500w，3-23缴款，3-24起息，9%单利，朗瑞1号7期ideal孟亚琪</t>
        </is>
      </c>
    </row>
    <row r="19">
      <c r="A19" s="156" t="n">
        <v>46104</v>
      </c>
      <c r="B19" s="218" t="inlineStr">
        <is>
          <t>蔚能优先A1</t>
        </is>
      </c>
      <c r="C19" s="112" t="n"/>
      <c r="D19" s="112" t="n">
        <v>100</v>
      </c>
      <c r="E19" s="572">
        <f>+E18+C19-D19</f>
        <v/>
      </c>
    </row>
    <row r="20">
      <c r="A20" s="156" t="n">
        <v>46107</v>
      </c>
      <c r="B20" s="218" t="inlineStr">
        <is>
          <t>回款</t>
        </is>
      </c>
      <c r="C20" s="112" t="n">
        <v>16.5</v>
      </c>
      <c r="D20" s="112" t="n"/>
      <c r="E20" s="572">
        <f>+E19+C20-D20</f>
        <v/>
      </c>
    </row>
    <row r="21">
      <c r="A21" s="156" t="n">
        <v>46119</v>
      </c>
      <c r="B21" s="218" t="inlineStr">
        <is>
          <t>元康20号申购</t>
        </is>
      </c>
      <c r="C21" s="112" t="n">
        <v>2100</v>
      </c>
      <c r="D21" s="112" t="n"/>
      <c r="E21" s="572">
        <f>+E20+C21-D21</f>
        <v/>
      </c>
    </row>
    <row r="22">
      <c r="A22" s="156" t="n">
        <v>46120</v>
      </c>
      <c r="B22" s="218" t="inlineStr">
        <is>
          <t>慧聚领航</t>
        </is>
      </c>
      <c r="C22" s="112" t="n">
        <v>850</v>
      </c>
      <c r="D22" s="112" t="n"/>
      <c r="E22" s="572">
        <f>+E21+C22-D22</f>
        <v/>
      </c>
      <c r="I22" s="169" t="inlineStr">
        <is>
          <t>24京能3号ABN001次</t>
        </is>
      </c>
      <c r="J22" s="464">
        <f>XIRR(J23:J29,I23:I29)</f>
        <v/>
      </c>
    </row>
    <row r="23">
      <c r="A23" s="156" t="n"/>
      <c r="B23" s="218" t="n"/>
      <c r="C23" s="112" t="n"/>
      <c r="D23" s="112" t="n"/>
      <c r="E23" s="572">
        <f>+E22+C23-D23</f>
        <v/>
      </c>
      <c r="I23" s="1" t="n">
        <v>45653</v>
      </c>
      <c r="J23" s="0" t="n">
        <v>-100</v>
      </c>
    </row>
    <row r="24">
      <c r="A24" s="156" t="n">
        <v>46120</v>
      </c>
      <c r="B24" s="218" t="inlineStr">
        <is>
          <t>京能</t>
        </is>
      </c>
      <c r="C24" s="112" t="n"/>
      <c r="D24" s="112">
        <f>2950*100.03%</f>
        <v/>
      </c>
      <c r="E24" s="572">
        <f>+E23+C24-D24</f>
        <v/>
      </c>
      <c r="F24" s="0" t="inlineStr">
        <is>
          <t>2026-4-8，24京能3号ABN001次 (082482325.IB)，2950w，100.020元，【】 to 朗瑞1号7期 孟亚琪 2881131472</t>
        </is>
      </c>
      <c r="I24" s="1" t="n">
        <v>45737.00049768519</v>
      </c>
      <c r="J24" s="564" t="n">
        <v>1.956164</v>
      </c>
    </row>
    <row r="25">
      <c r="A25" s="156" t="n">
        <v>46142</v>
      </c>
      <c r="B25" s="218" t="inlineStr">
        <is>
          <t>支付费用</t>
        </is>
      </c>
      <c r="C25" s="112" t="n"/>
      <c r="D25" s="112" t="n">
        <v>7.7</v>
      </c>
      <c r="E25" s="572">
        <f>+E24+C25-D25</f>
        <v/>
      </c>
      <c r="I25" s="1" t="n">
        <v>45821.00049768519</v>
      </c>
      <c r="J25" s="564" t="n">
        <v>1.956164386666666</v>
      </c>
    </row>
    <row r="26">
      <c r="A26" s="156" t="n">
        <v>46157</v>
      </c>
      <c r="B26" s="218" t="inlineStr">
        <is>
          <t>元康20申购</t>
        </is>
      </c>
      <c r="C26" s="572" t="n">
        <v>800</v>
      </c>
      <c r="D26" s="112" t="n"/>
      <c r="E26" s="572">
        <f>+E25+C26-D26</f>
        <v/>
      </c>
      <c r="F26" s="562" t="inlineStr">
        <is>
          <t>已发</t>
        </is>
      </c>
      <c r="I26" s="1" t="n">
        <v>45896.00049768519</v>
      </c>
      <c r="J26" s="564" t="n">
        <v>1.746575346666667</v>
      </c>
    </row>
    <row r="27">
      <c r="A27" s="156" t="n">
        <v>46157</v>
      </c>
      <c r="B27" s="218" t="inlineStr">
        <is>
          <t>元康17赎回</t>
        </is>
      </c>
      <c r="C27" s="112" t="n"/>
      <c r="D27" s="112" t="n">
        <v>800</v>
      </c>
      <c r="E27" s="572">
        <f>+E26+C27-D27</f>
        <v/>
      </c>
      <c r="F27" s="562" t="inlineStr">
        <is>
          <t>已发</t>
        </is>
      </c>
      <c r="I27" s="1" t="n">
        <v>45996.00049768519</v>
      </c>
      <c r="J27" s="564" t="n">
        <v>2.32876712</v>
      </c>
    </row>
    <row r="28">
      <c r="E28" s="563">
        <f>+E27+C28-D28</f>
        <v/>
      </c>
      <c r="I28" s="1" t="n">
        <v>46108.00049768519</v>
      </c>
      <c r="J28" s="564" t="n">
        <v>2.608219173333333</v>
      </c>
      <c r="L28" s="184" t="inlineStr">
        <is>
          <t>票面</t>
        </is>
      </c>
      <c r="M28" s="573">
        <f>-J23*(1+8.5%*(I29-I23)/365)-SUM(J24:J28)</f>
        <v/>
      </c>
    </row>
    <row r="29">
      <c r="E29" s="563">
        <f>+E28+C29-D29</f>
        <v/>
      </c>
      <c r="H29" s="150" t="n">
        <v>0.08500000000000001</v>
      </c>
      <c r="I29" s="117" t="n">
        <v>46120</v>
      </c>
      <c r="J29" s="585" t="n">
        <v>100.02</v>
      </c>
      <c r="L29" s="184" t="inlineStr">
        <is>
          <t>估值</t>
        </is>
      </c>
      <c r="M29" s="0" t="n">
        <v>100.2231</v>
      </c>
    </row>
    <row r="30">
      <c r="B30" s="0" t="n"/>
      <c r="E30" s="563">
        <f>+E29+C30-D30</f>
        <v/>
      </c>
    </row>
    <row r="31">
      <c r="A31" s="4" t="n">
        <v>46168</v>
      </c>
      <c r="B31" s="0" t="inlineStr">
        <is>
          <t>元康20号申购</t>
        </is>
      </c>
      <c r="C31" s="0" t="n">
        <v>500</v>
      </c>
      <c r="E31" s="563">
        <f>+E30+C31-D31</f>
        <v/>
      </c>
    </row>
    <row r="32">
      <c r="A32" s="4" t="n">
        <v>46168</v>
      </c>
      <c r="B32" s="217" t="inlineStr">
        <is>
          <t>元康9号赎回</t>
        </is>
      </c>
      <c r="D32" s="0" t="n">
        <v>500</v>
      </c>
      <c r="E32" s="563">
        <f>+E31+C32-D32</f>
        <v/>
      </c>
      <c r="F32" s="0" t="inlineStr">
        <is>
          <t>521发出，522申请</t>
        </is>
      </c>
    </row>
    <row r="33">
      <c r="E33" s="563">
        <f>+E32+C33-D33</f>
        <v/>
      </c>
      <c r="M33" s="117" t="n"/>
      <c r="N33" s="117" t="n"/>
    </row>
    <row r="34">
      <c r="E34" s="563">
        <f>+E33+C34-D34</f>
        <v/>
      </c>
    </row>
    <row r="35">
      <c r="E35" s="563">
        <f>+E34+C35-D35</f>
        <v/>
      </c>
    </row>
  </sheetData>
  <conditionalFormatting sqref="E1:E1048576">
    <cfRule type="cellIs" priority="1" operator="lessThan" dxfId="0">
      <formula>0</formula>
    </cfRule>
  </conditionalFormatting>
  <pageMargins left="0.7" right="0.7" top="0.75" bottom="0.75" header="0.3" footer="0.3"/>
  <pageSetup orientation="portrait" paperSize="9"/>
</worksheet>
</file>

<file path=xl/worksheets/sheet19.xml><?xml version="1.0" encoding="utf-8"?>
<worksheet xmlns="http://schemas.openxmlformats.org/spreadsheetml/2006/main">
  <sheetPr codeName="Sheet15">
    <outlinePr summaryBelow="1" summaryRight="1"/>
    <pageSetUpPr/>
  </sheetPr>
  <dimension ref="A1:AD101"/>
  <sheetViews>
    <sheetView zoomScaleNormal="100" workbookViewId="0">
      <pane ySplit="2" topLeftCell="A61" activePane="bottomLeft" state="frozen"/>
      <selection pane="bottomLeft" activeCell="E87" sqref="E87"/>
    </sheetView>
  </sheetViews>
  <sheetFormatPr baseColWidth="8" defaultRowHeight="16.5"/>
  <cols>
    <col width="10" bestFit="1" customWidth="1" style="4" min="1" max="1"/>
    <col width="9.5" customWidth="1" style="326" min="2" max="2"/>
    <col width="7.75" customWidth="1" style="326" min="3" max="3"/>
    <col width="9.375" customWidth="1" style="326" min="4" max="4"/>
    <col width="8.75" bestFit="1" customWidth="1" style="563" min="5" max="5"/>
    <col width="9.625" bestFit="1" customWidth="1" style="326" min="7" max="7"/>
    <col width="9.5" bestFit="1" customWidth="1" style="326" min="8" max="8"/>
    <col width="9.625" bestFit="1" customWidth="1" style="326" min="9" max="9"/>
    <col width="9.75" customWidth="1" style="326" min="10" max="10"/>
    <col width="9.625" bestFit="1" customWidth="1" style="326" min="11" max="11"/>
    <col width="9.5" customWidth="1" style="326" min="12" max="12"/>
    <col width="9.625" bestFit="1" customWidth="1" style="326" min="13" max="13"/>
    <col width="9.375" customWidth="1" style="326" min="14" max="14"/>
    <col width="12.625" customWidth="1" style="326" min="15" max="15"/>
    <col width="14.875" bestFit="1" customWidth="1" style="326" min="16" max="16"/>
    <col width="10" bestFit="1" customWidth="1" style="326" min="17" max="17"/>
    <col width="11.125" bestFit="1" customWidth="1" style="326" min="18" max="18"/>
    <col width="12.375" customWidth="1" style="326" min="19" max="19"/>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v>2020</v>
      </c>
    </row>
    <row r="4">
      <c r="A4" s="156" t="n"/>
      <c r="B4" s="112" t="n"/>
      <c r="C4" s="112" t="n"/>
      <c r="D4" s="112" t="n"/>
      <c r="E4" s="572">
        <f>+E3+C4-D4</f>
        <v/>
      </c>
    </row>
    <row r="5">
      <c r="A5" s="110" t="n">
        <v>46031</v>
      </c>
      <c r="B5" s="115" t="inlineStr">
        <is>
          <t>元康29申购</t>
        </is>
      </c>
      <c r="C5" s="112" t="n">
        <v>1200</v>
      </c>
      <c r="D5" s="112" t="n"/>
      <c r="E5" s="654">
        <f>E4+C5-D5</f>
        <v/>
      </c>
    </row>
    <row r="6">
      <c r="A6" s="110" t="n">
        <v>46031</v>
      </c>
      <c r="B6" s="220" t="inlineStr">
        <is>
          <t>22臻金3C</t>
        </is>
      </c>
      <c r="C6" s="112" t="n"/>
      <c r="D6" s="112">
        <f>71.245*3000/100</f>
        <v/>
      </c>
      <c r="E6" s="654">
        <f>E5+C6-D6</f>
        <v/>
      </c>
      <c r="F6" s="124" t="inlineStr">
        <is>
          <t>1. 方向：百瑞君集1-3 to 中信证券
交易日期：2026年1月9日
债券代码：2289370.IB
债券简称：22臻金3C
交易净价：71.239元/百元面值
交易数量：3000万面值（30万张，3万手）
卖方：百瑞信托君集1号集合资金信托计划
卖方询价QQ：杨越 3004259924
买方：中信证券
买方询价留痕QQ：【3004413757 张正昊】
2. 方向：中信证券 to 外贸信托朗瑞1号8期
交易日期：2026年1月9日
债券代码：2289370.IB
债券简称：22臻金3C
交易净价：71.245元/百元面值
交易数量：3000万面值（30万张，3万手）
卖方：中信证券
卖方询价留痕QQ：【3004413757 张正昊】
买方：外贸信托朗瑞1号集合资金信托计划
买方询价QQ：孟亚琪 2881131472</t>
        </is>
      </c>
    </row>
    <row r="7">
      <c r="A7" s="112" t="n"/>
      <c r="B7" s="112" t="n"/>
      <c r="C7" s="112" t="n"/>
      <c r="D7" s="112" t="n"/>
      <c r="E7" s="654">
        <f>E6+C7-D7</f>
        <v/>
      </c>
    </row>
    <row r="8">
      <c r="A8" s="110" t="n">
        <v>46034</v>
      </c>
      <c r="B8" s="220" t="inlineStr">
        <is>
          <t>25臻金4C</t>
        </is>
      </c>
      <c r="C8" s="112" t="n"/>
      <c r="D8" s="112">
        <f>1000*100.644/100</f>
        <v/>
      </c>
      <c r="E8" s="654">
        <f>E7+C8-D8</f>
        <v/>
      </c>
      <c r="F8" s="0" t="inlineStr">
        <is>
          <t>25臻金4C[2589445.IB] ,1000w,100.644, 1月12日，t+0, 中金 王东岳 to 外贸信托朗瑞1号8期，孟亚琪</t>
        </is>
      </c>
    </row>
    <row r="9">
      <c r="A9" s="156" t="n">
        <v>46038</v>
      </c>
      <c r="B9" s="112" t="inlineStr">
        <is>
          <t>元康29申购</t>
        </is>
      </c>
      <c r="C9" s="112" t="n">
        <v>500</v>
      </c>
      <c r="D9" s="112" t="n"/>
      <c r="E9" s="572">
        <f>+E8+C9-D9</f>
        <v/>
      </c>
    </row>
    <row r="10">
      <c r="A10" s="156" t="n"/>
      <c r="B10" s="112" t="n"/>
      <c r="C10" s="112" t="n"/>
      <c r="D10" s="112" t="n"/>
      <c r="E10" s="572">
        <f>+E9+C10-D10</f>
        <v/>
      </c>
    </row>
    <row r="11">
      <c r="A11" s="156" t="n">
        <v>46038</v>
      </c>
      <c r="B11" s="112" t="inlineStr">
        <is>
          <t>代持买回</t>
        </is>
      </c>
      <c r="C11" s="112" t="n"/>
      <c r="D11" s="112" t="n">
        <v>147</v>
      </c>
      <c r="E11" s="572">
        <f>+E10+C11-D11</f>
        <v/>
      </c>
      <c r="F11" s="0" t="inlineStr">
        <is>
          <t>1、24臻粹3C[2489229.IB]，7w，全价57.1,1月16日，t+0，国泰海通 冉雅婷 to 外贸信托朗瑞1号8期 孟亚琪</t>
        </is>
      </c>
    </row>
    <row r="12">
      <c r="A12" s="156" t="n"/>
      <c r="B12" s="112" t="n"/>
      <c r="C12" s="112" t="n"/>
      <c r="D12" s="112" t="n"/>
      <c r="E12" s="572">
        <f>+E11+C12-D12</f>
        <v/>
      </c>
      <c r="F12" s="0" t="inlineStr">
        <is>
          <t>2、24邮盈惠兴4C[2489188.IB]，400w，全价35.9,1月16日，t+0，国泰海通 冉雅婷 to 外贸信托朗瑞1号8期 孟亚琪</t>
        </is>
      </c>
    </row>
    <row r="13">
      <c r="A13" s="156" t="n">
        <v>46041</v>
      </c>
      <c r="B13" s="112" t="inlineStr">
        <is>
          <t>代持买回</t>
        </is>
      </c>
      <c r="C13" s="112" t="n"/>
      <c r="D13" s="112" t="n">
        <v>67</v>
      </c>
      <c r="E13" s="572" t="n">
        <v>357</v>
      </c>
      <c r="F13" s="0" t="inlineStr">
        <is>
          <t>3、24邮盈惠兴5C[2489255.IB]，140w，全价47.9555, 1月19日，t+0，银河 赵恩聪 to 外贸信托朗瑞1号8期 孟亚琪</t>
        </is>
      </c>
    </row>
    <row r="14">
      <c r="A14" s="156" t="n">
        <v>46044</v>
      </c>
      <c r="B14" s="112" t="inlineStr">
        <is>
          <t>元康29申购追加</t>
        </is>
      </c>
      <c r="C14" s="112" t="n">
        <v>2500</v>
      </c>
      <c r="D14" s="112" t="n"/>
      <c r="E14" s="572">
        <f>+E13+C14-D14</f>
        <v/>
      </c>
    </row>
    <row r="15">
      <c r="A15" s="156" t="n">
        <v>46044</v>
      </c>
      <c r="B15" s="112" t="inlineStr">
        <is>
          <t>代持买回</t>
        </is>
      </c>
      <c r="C15" s="112" t="n"/>
      <c r="D15" s="112" t="n">
        <v>2507</v>
      </c>
      <c r="E15" s="572">
        <f>+E14+C15-D15</f>
        <v/>
      </c>
      <c r="F15" s="217" t="inlineStr">
        <is>
          <t>23工元至诚8C[2389487.IB] ，1300w，126.90,1月22日，t+0，国泰海通 冉雅婷 to 外贸信托朗瑞1号8期 孟亚琪</t>
        </is>
      </c>
      <c r="Q15" s="0" t="inlineStr">
        <is>
          <t>23工元至诚8C  2026/1/26兑付后超集中度，2026/1/26（下周一）前至少要减持1300万</t>
        </is>
      </c>
    </row>
    <row r="16">
      <c r="E16" s="563">
        <f>+E15+C16-D16</f>
        <v/>
      </c>
      <c r="F16" s="0" t="inlineStr">
        <is>
          <t>25橙益4C[2589087.IB] ，130w，108.12,1月22日，t+0，国泰海通 冉雅婷 to 外贸信托朗瑞1号8期 孟亚琪</t>
        </is>
      </c>
      <c r="Q16" s="0" t="inlineStr">
        <is>
          <t>25兴瑞1C  2026/1/26兑付后超集中度，2026/1/26（下周一）前至少要减持180万</t>
        </is>
      </c>
    </row>
    <row r="17">
      <c r="E17" s="563">
        <f>+E16+C17-D17</f>
        <v/>
      </c>
      <c r="F17" s="0" t="inlineStr">
        <is>
          <t>25兴瑞1C[2589025.IB] ，180w，108.48,1月22日，t+0，国泰海通 冉雅婷 to 外贸信托朗瑞1号8期 孟亚琪</t>
        </is>
      </c>
      <c r="Q17" s="0" t="inlineStr">
        <is>
          <t>25橙益4C 需要减持130W</t>
        </is>
      </c>
    </row>
    <row r="18">
      <c r="E18" s="563">
        <f>+E17+C18-D18</f>
        <v/>
      </c>
      <c r="F18" s="0" t="inlineStr">
        <is>
          <t>24浦鑫归航8C[2489436.IB]，500w，104.29,1月22日，t+0，国泰海通 冉雅婷 to 外贸信托朗瑞1号8期 孟亚琪</t>
        </is>
      </c>
      <c r="Q18" s="0" t="inlineStr">
        <is>
          <t>还有24浦鑫归航8C，超了350w</t>
        </is>
      </c>
    </row>
    <row r="19">
      <c r="A19" s="156" t="n">
        <v>46045</v>
      </c>
      <c r="B19" s="112" t="inlineStr">
        <is>
          <t>底层回款</t>
        </is>
      </c>
      <c r="C19" s="112" t="n">
        <v>435</v>
      </c>
      <c r="D19" s="112" t="n"/>
      <c r="E19" s="563">
        <f>+E18+C19-D19</f>
        <v/>
      </c>
    </row>
    <row r="20">
      <c r="A20" s="156" t="n">
        <v>46045</v>
      </c>
      <c r="B20" s="112" t="inlineStr">
        <is>
          <t>买券</t>
        </is>
      </c>
      <c r="C20" s="112" t="n"/>
      <c r="D20" s="112">
        <f>42*1.0289</f>
        <v/>
      </c>
      <c r="E20" s="563">
        <f>+E19+C20-D20</f>
        <v/>
      </c>
      <c r="F20" s="217" t="inlineStr">
        <is>
          <t>25福鑫4C[2589218.IB],42w,102.8904,1月23日，国泰海通田飞凡 to 外贸信托朗瑞1号8期 孟亚琪2881131472</t>
        </is>
      </c>
    </row>
    <row r="21">
      <c r="A21" s="156" t="n">
        <v>46048</v>
      </c>
      <c r="B21" s="112" t="inlineStr">
        <is>
          <t>底层回款</t>
        </is>
      </c>
      <c r="C21" s="112" t="n">
        <v>3701</v>
      </c>
      <c r="D21" s="112" t="n"/>
      <c r="E21" s="572">
        <f>+E20+C21-D21</f>
        <v/>
      </c>
    </row>
    <row r="22">
      <c r="A22" s="156" t="n">
        <v>46050</v>
      </c>
      <c r="B22" s="112" t="inlineStr">
        <is>
          <t>底层回款</t>
        </is>
      </c>
      <c r="C22" s="112" t="n">
        <v>11</v>
      </c>
      <c r="D22" s="112" t="n"/>
      <c r="E22" s="572">
        <f>+E21+C22-D22</f>
        <v/>
      </c>
    </row>
    <row r="23">
      <c r="A23" s="156" t="n">
        <v>46050</v>
      </c>
      <c r="B23" s="112" t="inlineStr">
        <is>
          <t>24鸿富5C</t>
        </is>
      </c>
      <c r="C23" s="112" t="n">
        <v>270</v>
      </c>
      <c r="D23" s="112" t="n"/>
      <c r="E23" s="572">
        <f>+E22+C23-D23</f>
        <v/>
      </c>
      <c r="I23" s="0" t="inlineStr">
        <is>
          <t> </t>
        </is>
      </c>
    </row>
    <row r="24">
      <c r="A24" s="156" t="n">
        <v>46051</v>
      </c>
      <c r="B24" s="112" t="inlineStr">
        <is>
          <t>24鸿富5C</t>
        </is>
      </c>
      <c r="C24" s="112" t="n">
        <v>260</v>
      </c>
      <c r="D24" s="112" t="n"/>
      <c r="E24" s="572">
        <f>+E23+C24-D24</f>
        <v/>
      </c>
      <c r="Q24" s="0" t="inlineStr">
        <is>
          <t>交易日期</t>
        </is>
      </c>
      <c r="R24" s="0" t="inlineStr">
        <is>
          <t>交易价格</t>
        </is>
      </c>
      <c r="S24" s="0" t="inlineStr">
        <is>
          <t>交易金额</t>
        </is>
      </c>
      <c r="T24" s="0" t="inlineStr">
        <is>
          <t>补收益</t>
        </is>
      </c>
    </row>
    <row r="25">
      <c r="A25" s="156" t="n">
        <v>46052</v>
      </c>
      <c r="B25" s="241" t="inlineStr">
        <is>
          <t>25建欣8C</t>
        </is>
      </c>
      <c r="C25" s="112" t="n"/>
      <c r="D25" s="112">
        <f>417*1.078479</f>
        <v/>
      </c>
      <c r="E25" s="563">
        <f>+E24+C25-D25</f>
        <v/>
      </c>
      <c r="F25" s="0" t="inlineStr">
        <is>
          <t>25建欣8C,2589233.IB，1-30, t+0，417w，107.8479，银河证券 刘成立 2853268300 to 外贸信托朗瑞1号 孟亚琪</t>
        </is>
      </c>
      <c r="O25" s="0" t="inlineStr">
        <is>
          <t>25建欣8C</t>
        </is>
      </c>
      <c r="P25" s="0" t="n">
        <v>417</v>
      </c>
      <c r="Q25" s="117" t="n">
        <v>46052</v>
      </c>
      <c r="R25" s="586">
        <f>P36</f>
        <v/>
      </c>
      <c r="S25" s="564">
        <f>+R25*P25*100</f>
        <v/>
      </c>
      <c r="U25" s="0" t="inlineStr">
        <is>
          <t>25建欣8C,2589233.IB，1-30, t+0，417w，107.8479，银河证券 刘成立 2853268300 to 外贸信托朗瑞1号 孟亚琪</t>
        </is>
      </c>
    </row>
    <row r="26">
      <c r="A26" s="156" t="n"/>
      <c r="B26" s="241" t="n"/>
      <c r="C26" s="112" t="n"/>
      <c r="D26" s="112" t="n"/>
      <c r="E26" s="563">
        <f>+E25+C26-D26</f>
        <v/>
      </c>
      <c r="O26" s="0" t="inlineStr">
        <is>
          <t>25工元至诚普银3C</t>
        </is>
      </c>
      <c r="P26" s="0" t="n">
        <v>182</v>
      </c>
      <c r="Q26" s="117" t="n">
        <v>46056</v>
      </c>
      <c r="R26" s="586">
        <f>+S36</f>
        <v/>
      </c>
      <c r="S26" s="564">
        <f>+R26*P26*100</f>
        <v/>
      </c>
      <c r="U26" s="0" t="inlineStr">
        <is>
          <t>25工元至诚普银3C，2589168.IB，2-3，t+0，182w，113.4147，银河证券 刘成立 2853268300 to 粤财信托鹏雅10号120期 xxx</t>
        </is>
      </c>
    </row>
    <row r="27">
      <c r="A27" s="156" t="n">
        <v>46052</v>
      </c>
      <c r="B27" s="241" t="inlineStr">
        <is>
          <t>25建欣11C</t>
        </is>
      </c>
      <c r="C27" s="112" t="n"/>
      <c r="D27" s="112" t="n">
        <v>731</v>
      </c>
      <c r="E27" s="563">
        <f>+E26+C27-D27</f>
        <v/>
      </c>
      <c r="F27" s="0" t="inlineStr">
        <is>
          <t>25建欣11C，2589247.IB，1-30，t+0,700w，104.5375，信达证券 3007461572 张诗玥 to 天风证券 唐德婷2885078648</t>
        </is>
      </c>
      <c r="O27" s="0" t="inlineStr">
        <is>
          <t>25建欣11C</t>
        </is>
      </c>
      <c r="P27" s="0" t="n">
        <v>700</v>
      </c>
      <c r="Q27" s="117" t="n">
        <v>46052</v>
      </c>
      <c r="R27" s="586">
        <f>+P40</f>
        <v/>
      </c>
      <c r="S27" s="564">
        <f>+R27*P27*100</f>
        <v/>
      </c>
      <c r="U27" s="0" t="inlineStr">
        <is>
          <t>25建欣11C，2589247.IB，1-30，t+0,700w，104.5375，信达证券 3007461572 张诗玥 to 天风证券 唐德婷2885078648</t>
        </is>
      </c>
      <c r="AD27" s="0" t="inlineStr">
        <is>
          <t>25建欣11C，2589247.IB，1-30，t+0,700w，104.5575，天风证券 唐德婷2885078648 to 外贸信托朗瑞1号 孟亚琪</t>
        </is>
      </c>
    </row>
    <row r="28">
      <c r="A28" s="156" t="n"/>
      <c r="B28" s="241" t="n"/>
      <c r="C28" s="112" t="n"/>
      <c r="D28" s="655" t="n"/>
      <c r="E28" s="563">
        <f>+E27+C28-D28</f>
        <v/>
      </c>
      <c r="F28" s="201" t="inlineStr">
        <is>
          <t>25建欣11C，2589247.IB，1-30，t+0,700w，104.5575，天风证券 唐德婷2885078648 to 外贸信托朗瑞1号 孟亚琪</t>
        </is>
      </c>
      <c r="O28" s="0" t="inlineStr">
        <is>
          <t>24中誉至诚9C</t>
        </is>
      </c>
      <c r="P28" s="0" t="n">
        <v>68</v>
      </c>
      <c r="Q28" s="117" t="n">
        <v>46057</v>
      </c>
      <c r="R28" s="586">
        <f>S41</f>
        <v/>
      </c>
      <c r="S28" s="564">
        <f>+R28*P28*100</f>
        <v/>
      </c>
    </row>
    <row r="29">
      <c r="A29" s="156" t="n">
        <v>46052</v>
      </c>
      <c r="B29" s="241" t="inlineStr">
        <is>
          <t>24建欣6C</t>
        </is>
      </c>
      <c r="C29" s="112" t="n"/>
      <c r="D29" s="655" t="n">
        <v>81.31999999999999</v>
      </c>
      <c r="E29" s="563">
        <f>+E28+C29-D29</f>
        <v/>
      </c>
      <c r="F29" s="217" t="inlineStr">
        <is>
          <t>24建欣6C，2489200.IB，1-30，t+0,76w，106.96，国泰海通 冉雅婷 to 外贸信托朗瑞1号 孟亚琪</t>
        </is>
      </c>
      <c r="O29" s="0" t="inlineStr">
        <is>
          <t>24建欣6C</t>
        </is>
      </c>
      <c r="P29" s="0" t="n">
        <v>76</v>
      </c>
      <c r="Q29" s="117" t="n">
        <v>46052</v>
      </c>
      <c r="R29" s="586">
        <f>+Q57</f>
        <v/>
      </c>
      <c r="S29" s="564">
        <f>+R29*P29*100</f>
        <v/>
      </c>
      <c r="T29" s="0">
        <f>+(P57-Q57)*P29*100</f>
        <v/>
      </c>
      <c r="U29" s="217" t="inlineStr">
        <is>
          <t>24建欣6C，2489200.IB，1-30，t+0,76w，106.96，国泰海通 冉雅婷 to 外贸信托朗瑞1号 孟亚琪</t>
        </is>
      </c>
    </row>
    <row r="30">
      <c r="A30" s="156" t="n">
        <v>46052</v>
      </c>
      <c r="B30" s="241" t="inlineStr">
        <is>
          <t>24橙益17C</t>
        </is>
      </c>
      <c r="C30" s="112" t="n"/>
      <c r="D30" s="655" t="n">
        <v>176</v>
      </c>
      <c r="E30" s="563">
        <f>+E29+C30-D30</f>
        <v/>
      </c>
      <c r="F30" s="0" t="inlineStr">
        <is>
          <t>24橙益17C，2489414.IB，1-30，t+0，182w,97.22,国泰海通 冉雅婷 to 外贸信托朗瑞1号 孟亚琪</t>
        </is>
      </c>
      <c r="O30" s="0" t="inlineStr">
        <is>
          <t>24橙益17C</t>
        </is>
      </c>
      <c r="P30" s="0" t="n">
        <v>182</v>
      </c>
      <c r="Q30" s="117" t="n">
        <v>46052</v>
      </c>
      <c r="R30" s="586">
        <f>+U57</f>
        <v/>
      </c>
      <c r="S30" s="564">
        <f>+R30*P30*100</f>
        <v/>
      </c>
      <c r="T30" s="0">
        <f>+(T57-U57)*P30*100</f>
        <v/>
      </c>
      <c r="U30" s="0" t="inlineStr">
        <is>
          <t>24橙益17C，2489414.IB，1-30，t+0，182w,97.22,国泰海通 冉雅婷 to 外贸信托朗瑞1号 孟亚琪</t>
        </is>
      </c>
    </row>
    <row r="31">
      <c r="A31" s="156" t="n">
        <v>46055</v>
      </c>
      <c r="B31" s="241" t="inlineStr">
        <is>
          <t xml:space="preserve">25浦鑫归航9C </t>
        </is>
      </c>
      <c r="C31" s="112" t="n"/>
      <c r="D31" s="655">
        <f>200*1.00691</f>
        <v/>
      </c>
      <c r="E31" s="563">
        <f>+E30+C31-D31</f>
        <v/>
      </c>
      <c r="F31" s="0" t="inlineStr">
        <is>
          <t>2/2 2589513.IB 25浦鑫归航9C  200W 100.691  天风证券 2850302347TO  外贸信托-朗瑞1号8期 孟亚琪</t>
        </is>
      </c>
    </row>
    <row r="32">
      <c r="A32" s="156" t="n"/>
      <c r="B32" s="241" t="n"/>
      <c r="C32" s="112" t="n"/>
      <c r="D32" s="655" t="n"/>
      <c r="E32" s="572">
        <f>+E31+C32-D32</f>
        <v/>
      </c>
      <c r="G32" s="117" t="n"/>
    </row>
    <row r="33">
      <c r="A33" s="156" t="n"/>
      <c r="B33" s="112" t="n"/>
      <c r="C33" s="112" t="n"/>
      <c r="D33" s="112" t="n"/>
      <c r="E33" s="572">
        <f>+E32+C33-D33</f>
        <v/>
      </c>
    </row>
    <row r="34">
      <c r="A34" s="156" t="n"/>
      <c r="B34" s="241" t="n"/>
      <c r="C34" s="112" t="n"/>
      <c r="D34" s="112" t="n"/>
      <c r="E34" s="572">
        <f>+E33+C34-D34</f>
        <v/>
      </c>
      <c r="O34" s="0" t="inlineStr">
        <is>
          <t>25建欣8C</t>
        </is>
      </c>
      <c r="P34" s="464">
        <f>XIRR(P35:P36,O35:O36)</f>
        <v/>
      </c>
      <c r="R34" s="0" t="inlineStr">
        <is>
          <t>25工元至诚普银3C</t>
        </is>
      </c>
      <c r="S34" s="464">
        <f>XIRR(S35:S36,R35:R36)</f>
        <v/>
      </c>
    </row>
    <row r="35">
      <c r="A35" s="156" t="n">
        <v>46057</v>
      </c>
      <c r="B35" s="241" t="inlineStr">
        <is>
          <t>24惠元8C</t>
        </is>
      </c>
      <c r="C35" s="655" t="n"/>
      <c r="D35" s="655">
        <f>1500*1.121248</f>
        <v/>
      </c>
      <c r="E35" s="572">
        <f>+E34+C35-D35</f>
        <v/>
      </c>
      <c r="F35" s="0" t="inlineStr">
        <is>
          <t>1、24惠元8C，2489337.IB，1500w，112.0948，2月5日，T+0，银河证券 赵恩聪 to 天风 唐德婷2885078648</t>
        </is>
      </c>
      <c r="H35" s="564" t="n"/>
      <c r="O35" s="1" t="n">
        <v>45854</v>
      </c>
      <c r="P35" s="0" t="n">
        <v>-105</v>
      </c>
      <c r="R35" s="1" t="n">
        <v>45973</v>
      </c>
      <c r="S35" s="0" t="n">
        <v>-112.1397</v>
      </c>
    </row>
    <row r="36">
      <c r="A36" s="156" t="n">
        <v>46057</v>
      </c>
      <c r="B36" s="241" t="inlineStr">
        <is>
          <t>24工元至诚4C</t>
        </is>
      </c>
      <c r="C36" s="655" t="n"/>
      <c r="D36" s="655">
        <f>1000*1.171441</f>
        <v/>
      </c>
      <c r="E36" s="572">
        <f>+E35+C36-D36</f>
        <v/>
      </c>
      <c r="F36" s="0" t="inlineStr">
        <is>
          <t>2、24惠元8C，2489337.IB，1500w，112.1248，2月5日，T+0，天风 唐德婷2885078648 to 外贸信托朗瑞1号8期 孟亚琪2881131472</t>
        </is>
      </c>
      <c r="H36" s="564" t="n"/>
      <c r="O36" s="117">
        <f>Q25</f>
        <v/>
      </c>
      <c r="P36" s="0">
        <f>-P35*(1+5%/365*(O36-O35))</f>
        <v/>
      </c>
      <c r="R36" s="1">
        <f>+Q26</f>
        <v/>
      </c>
      <c r="S36" s="656">
        <f>-S35*(1+5%/365*(R36-R35))</f>
        <v/>
      </c>
    </row>
    <row r="37">
      <c r="A37" s="156" t="n"/>
      <c r="B37" s="112" t="n"/>
      <c r="C37" s="112" t="n"/>
      <c r="D37" s="655" t="n"/>
      <c r="E37" s="572">
        <f>+E36+C37-D37</f>
        <v/>
      </c>
      <c r="F37" s="0" t="inlineStr">
        <is>
          <t>3、24工元至诚4C，2489376.IB，1000w，117.1441, 2月5日，T+0，银河证券 赵恩聪 to 天风 唐德婷2885078648</t>
        </is>
      </c>
      <c r="H37" s="564" t="n"/>
    </row>
    <row r="38">
      <c r="B38" s="128" t="n"/>
      <c r="D38" s="564" t="n"/>
      <c r="E38" s="563">
        <f>+E37+C38-D38</f>
        <v/>
      </c>
      <c r="F38" s="0" t="inlineStr">
        <is>
          <t>4、24工元至诚4C，2489376.IB，1000w，117.1441, 2月5日，T+0，天风 唐德婷2885078648 to 外贸信托朗瑞1号8期 孟亚琪2881131472</t>
        </is>
      </c>
      <c r="O38" s="0" t="inlineStr">
        <is>
          <t>25建欣11C</t>
        </is>
      </c>
      <c r="P38" s="464">
        <f>XIRR(P39:P40,O39:O40)</f>
        <v/>
      </c>
      <c r="R38" s="0" t="inlineStr">
        <is>
          <t>24中誉至诚9C</t>
        </is>
      </c>
      <c r="S38" s="464">
        <f>XIRR(S39:S41,R39:R41)</f>
        <v/>
      </c>
    </row>
    <row r="39">
      <c r="E39" s="563">
        <f>+E38+C39-D39</f>
        <v/>
      </c>
      <c r="O39" s="1" t="n">
        <v>45868</v>
      </c>
      <c r="P39" s="0" t="n">
        <v>-102</v>
      </c>
      <c r="R39" s="1" t="n">
        <v>45656</v>
      </c>
      <c r="S39" s="0" t="n">
        <v>-101</v>
      </c>
    </row>
    <row r="40">
      <c r="A40" s="156" t="n">
        <v>46059</v>
      </c>
      <c r="B40" s="241" t="inlineStr">
        <is>
          <t>22臻金1C</t>
        </is>
      </c>
      <c r="C40" s="112" t="n"/>
      <c r="D40" s="578">
        <f>100*0.25</f>
        <v/>
      </c>
      <c r="E40" s="572">
        <f>+E39+C40-D40</f>
        <v/>
      </c>
      <c r="F40" s="0" t="inlineStr">
        <is>
          <t>22臻金1C，2289055.IB，100w，25元/百元面值，2月6日，天风证券 唐德婷qt2885078648   to 外贸信托朗瑞1号8期 孟亚琪2881131472</t>
        </is>
      </c>
      <c r="O40" s="117">
        <f>+Q27</f>
        <v/>
      </c>
      <c r="P40" s="0" t="n">
        <v>104.5375</v>
      </c>
      <c r="R40" s="1" t="n">
        <v>46048</v>
      </c>
      <c r="S40" s="0" t="n">
        <v>80.89</v>
      </c>
    </row>
    <row r="41">
      <c r="A41" s="156" t="n">
        <v>46059</v>
      </c>
      <c r="B41" s="112" t="inlineStr">
        <is>
          <t>25中誉至诚3C</t>
        </is>
      </c>
      <c r="C41" s="112" t="n"/>
      <c r="D41" s="112" t="n">
        <v>249</v>
      </c>
      <c r="E41" s="572">
        <f>+E40+C41-D41</f>
        <v/>
      </c>
      <c r="F41" s="0" t="inlineStr">
        <is>
          <t>25中誉至诚3C,2589127.IB,238w,104.458,2月6日，国泰海通 夏雪 to 外贸信托朗瑞1号8期 孟亚琪</t>
        </is>
      </c>
      <c r="R41" s="1">
        <f>Q28</f>
        <v/>
      </c>
      <c r="S41" s="0" t="n">
        <v>25.57</v>
      </c>
    </row>
    <row r="42">
      <c r="A42" s="156" t="n">
        <v>46077</v>
      </c>
      <c r="B42" s="112" t="inlineStr">
        <is>
          <t>回款</t>
        </is>
      </c>
      <c r="C42" s="112" t="n">
        <v>121</v>
      </c>
      <c r="D42" s="112" t="n"/>
      <c r="E42" s="572">
        <f>+E41+C42-D42</f>
        <v/>
      </c>
      <c r="R42" s="1" t="n"/>
    </row>
    <row r="43">
      <c r="A43" s="156" t="n">
        <v>46079</v>
      </c>
      <c r="B43" s="112" t="inlineStr">
        <is>
          <t>卖出25浦鑫归航9C</t>
        </is>
      </c>
      <c r="C43" s="112" t="n">
        <v>201</v>
      </c>
      <c r="D43" s="112" t="n"/>
      <c r="E43" s="572">
        <f>+E42+C43-D43</f>
        <v/>
      </c>
      <c r="F43" s="217" t="inlineStr">
        <is>
          <t>2/26 2589513.IB 25浦鑫归航9C 200W 全价100.9719 外贸信托-朗瑞1号8期 孟亚琪 T0 中金（黄兴）QT号：2850290224</t>
        </is>
      </c>
      <c r="R43" s="1" t="n"/>
    </row>
    <row r="44">
      <c r="A44" s="156" t="n">
        <v>46079</v>
      </c>
      <c r="B44" s="112" t="inlineStr">
        <is>
          <t>回款</t>
        </is>
      </c>
      <c r="C44" s="112" t="n">
        <v>1252</v>
      </c>
      <c r="D44" s="112" t="n"/>
      <c r="E44" s="572">
        <f>+E43+C44-D44</f>
        <v/>
      </c>
      <c r="R44" s="1" t="n"/>
    </row>
    <row r="45">
      <c r="A45" s="156" t="n">
        <v>46079</v>
      </c>
      <c r="B45" s="241" t="inlineStr">
        <is>
          <t>22兴瑞4优先</t>
        </is>
      </c>
      <c r="C45" s="112" t="n"/>
      <c r="D45" s="578" t="n">
        <v>201.9</v>
      </c>
      <c r="E45" s="572">
        <f>+E44+C45-D45</f>
        <v/>
      </c>
      <c r="F45" s="0" t="inlineStr">
        <is>
          <t>2289264.IB，22兴瑞4优先，1000w，净价20.23,2月26日，中信证券杨赟 to 外贸信托朗瑞1号8期 孟亚琪</t>
        </is>
      </c>
    </row>
    <row r="46">
      <c r="B46" s="128" t="n"/>
      <c r="D46" s="564" t="n"/>
      <c r="E46" s="563">
        <f>+E45+C46-D46</f>
        <v/>
      </c>
    </row>
    <row r="47">
      <c r="B47" s="121" t="n"/>
      <c r="D47" s="564" t="n"/>
      <c r="E47" s="563" t="n">
        <v>1599</v>
      </c>
    </row>
    <row r="48">
      <c r="A48" s="156" t="n">
        <v>46084</v>
      </c>
      <c r="B48" s="241" t="inlineStr">
        <is>
          <t>元康29号提取赎回</t>
        </is>
      </c>
      <c r="C48" s="112" t="n"/>
      <c r="D48" s="578" t="n">
        <v>1205</v>
      </c>
      <c r="E48" s="572">
        <f>+E47+C48-D48</f>
        <v/>
      </c>
    </row>
    <row r="49">
      <c r="A49" s="156" t="n">
        <v>46084</v>
      </c>
      <c r="B49" s="241" t="inlineStr">
        <is>
          <t>25兴瑞1C</t>
        </is>
      </c>
      <c r="C49" s="112" t="n"/>
      <c r="D49" s="578">
        <f>310*0.518511</f>
        <v/>
      </c>
      <c r="E49" s="572">
        <f>+E48+C49-D49</f>
        <v/>
      </c>
      <c r="F49" s="0" t="inlineStr">
        <is>
          <t>2589025.IB  25兴瑞1C 310W 净价/全价  51.8511 天风证券 TO外贸信托朗瑞1号8期  孟亚琪qt 2881131472</t>
        </is>
      </c>
    </row>
    <row r="50">
      <c r="B50" s="128" t="n"/>
      <c r="C50" s="573" t="n"/>
      <c r="D50" s="564" t="n"/>
      <c r="E50" s="563">
        <f>+E49+C50-D50</f>
        <v/>
      </c>
    </row>
    <row r="51">
      <c r="A51" s="156" t="n">
        <v>46093</v>
      </c>
      <c r="B51" s="241" t="inlineStr">
        <is>
          <t>25兴瑞1C</t>
        </is>
      </c>
      <c r="C51" s="112">
        <f>310*51.915%</f>
        <v/>
      </c>
      <c r="D51" s="578" t="n"/>
      <c r="E51" s="563">
        <f>+E50+C51-D51</f>
        <v/>
      </c>
      <c r="F51" s="0" t="inlineStr">
        <is>
          <t>3/12 2589025.IB  25兴瑞1C  310W 净价/全价  51.9150 外贸信托朗瑞1号8期( 孟亚琪qt 2881131472） TO中金黄兴</t>
        </is>
      </c>
    </row>
    <row r="52">
      <c r="A52" s="156" t="n">
        <v>46094</v>
      </c>
      <c r="B52" s="241" t="inlineStr">
        <is>
          <t>24惠元8C</t>
        </is>
      </c>
      <c r="C52" s="112" t="n">
        <v>1737.8</v>
      </c>
      <c r="D52" s="578" t="n"/>
      <c r="E52" s="572">
        <f>+E51+C52-D52</f>
        <v/>
      </c>
      <c r="F52" s="0" t="inlineStr">
        <is>
          <t>3/13+0, 24惠元8C[2489337.IB] ，1545w，112.48，外贸信托朗瑞1号8期  孟亚琪qt 2881131472 to 华林证券（信唐 郁正良 2885267029）</t>
        </is>
      </c>
    </row>
    <row r="53">
      <c r="A53" s="156" t="n">
        <v>46094</v>
      </c>
      <c r="B53" s="241" t="inlineStr">
        <is>
          <t>新增申购</t>
        </is>
      </c>
      <c r="C53" s="576" t="n">
        <v>100</v>
      </c>
      <c r="D53" s="578" t="n"/>
      <c r="E53" s="572">
        <f>+E52+C53-D53</f>
        <v/>
      </c>
    </row>
    <row r="54">
      <c r="A54" s="156" t="n"/>
      <c r="B54" s="241" t="n"/>
      <c r="C54" s="112" t="n"/>
      <c r="D54" s="112" t="n"/>
      <c r="E54" s="572">
        <f>+E53+C54-D54</f>
        <v/>
      </c>
      <c r="G54" s="128" t="n"/>
      <c r="H54" s="657" t="n"/>
      <c r="O54" s="0" t="inlineStr">
        <is>
          <t>24建欣6C</t>
        </is>
      </c>
      <c r="P54" s="464">
        <f>XIRR(P55:P57,O55:O57)</f>
        <v/>
      </c>
      <c r="Q54" s="464">
        <f>XIRR(Q55:Q57,O55:O57)</f>
        <v/>
      </c>
      <c r="S54" s="0" t="inlineStr">
        <is>
          <t>24橙益17C</t>
        </is>
      </c>
      <c r="T54" s="464">
        <f>XIRR(T55:T57,S55:S57)</f>
        <v/>
      </c>
      <c r="U54" s="464">
        <f>XIRR(U55:U57,S55:S57)</f>
        <v/>
      </c>
    </row>
    <row r="55">
      <c r="A55" s="156" t="n">
        <v>46094</v>
      </c>
      <c r="B55" s="241" t="inlineStr">
        <is>
          <t>元康29号赎回</t>
        </is>
      </c>
      <c r="C55" s="112" t="n"/>
      <c r="D55" s="112" t="n">
        <v>2198.8</v>
      </c>
      <c r="E55" s="572">
        <f>+E54+C55-D55</f>
        <v/>
      </c>
      <c r="G55" s="128" t="n"/>
      <c r="H55" s="657" t="n"/>
      <c r="I55" s="128" t="inlineStr">
        <is>
          <t>22臻金2C</t>
        </is>
      </c>
      <c r="K55" s="564">
        <f>510*0.37</f>
        <v/>
      </c>
      <c r="O55" s="1" t="n">
        <v>45471</v>
      </c>
      <c r="P55" s="0" t="n">
        <v>-107</v>
      </c>
      <c r="Q55" s="0">
        <f>+P55</f>
        <v/>
      </c>
      <c r="S55" s="1" t="n">
        <v>45651</v>
      </c>
      <c r="T55" s="0" t="n">
        <v>-100</v>
      </c>
      <c r="U55" s="0">
        <f>+T55</f>
        <v/>
      </c>
    </row>
    <row r="56">
      <c r="A56" s="156" t="n"/>
      <c r="B56" s="241" t="n"/>
      <c r="C56" s="112" t="n"/>
      <c r="D56" s="578" t="n"/>
      <c r="E56" s="572">
        <f>+E55+C56-D56</f>
        <v/>
      </c>
      <c r="G56" s="128" t="n"/>
      <c r="H56" s="657" t="n"/>
      <c r="I56" s="128" t="inlineStr">
        <is>
          <t>21工元至诚5C</t>
        </is>
      </c>
      <c r="K56" s="564">
        <f>6000*0.52</f>
        <v/>
      </c>
      <c r="O56" s="1" t="n">
        <v>46048</v>
      </c>
      <c r="P56" s="0" t="n">
        <v>6.93</v>
      </c>
      <c r="Q56" s="0">
        <f>+P56</f>
        <v/>
      </c>
      <c r="S56" s="1" t="n">
        <v>46048</v>
      </c>
      <c r="T56" s="0" t="n">
        <v>7.1811</v>
      </c>
      <c r="U56" s="0">
        <f>+T56</f>
        <v/>
      </c>
    </row>
    <row r="57">
      <c r="A57" s="156" t="n">
        <v>46101</v>
      </c>
      <c r="B57" s="241" t="inlineStr">
        <is>
          <t>回款</t>
        </is>
      </c>
      <c r="C57" s="241" t="n">
        <v>33.7</v>
      </c>
      <c r="D57" s="578" t="n"/>
      <c r="E57" s="572">
        <f>+E56+C57-D57</f>
        <v/>
      </c>
      <c r="G57" s="128" t="n"/>
      <c r="H57" s="657" t="n"/>
      <c r="I57" s="128" t="inlineStr">
        <is>
          <t>20中誉2C</t>
        </is>
      </c>
      <c r="K57" s="564">
        <f>930*0.02</f>
        <v/>
      </c>
      <c r="O57" s="1">
        <f>+Q29</f>
        <v/>
      </c>
      <c r="P57" s="0" t="n">
        <v>108.7</v>
      </c>
      <c r="Q57" s="0" t="n">
        <v>106.96</v>
      </c>
      <c r="S57" s="1">
        <f>+Q30</f>
        <v/>
      </c>
      <c r="T57" s="0" t="n">
        <v>98.31999999999999</v>
      </c>
      <c r="U57" s="0" t="n">
        <v>97.22</v>
      </c>
    </row>
    <row r="58">
      <c r="A58" s="156" t="n">
        <v>46104</v>
      </c>
      <c r="B58" s="241" t="inlineStr">
        <is>
          <t>回款</t>
        </is>
      </c>
      <c r="C58" s="112" t="n">
        <v>90</v>
      </c>
      <c r="D58" s="578" t="n"/>
      <c r="E58" s="572">
        <f>+E57+C58-D58</f>
        <v/>
      </c>
      <c r="I58" s="128" t="inlineStr">
        <is>
          <t>23中誉1C</t>
        </is>
      </c>
      <c r="K58" s="564">
        <f>1794*0.64</f>
        <v/>
      </c>
      <c r="O58" s="1" t="n"/>
    </row>
    <row r="59">
      <c r="B59" s="128" t="n"/>
      <c r="D59" s="564" t="n"/>
      <c r="E59" s="563">
        <f>+E58+C59-D59</f>
        <v/>
      </c>
      <c r="I59" s="128" t="n"/>
      <c r="K59" s="564" t="n"/>
      <c r="O59" s="1" t="n"/>
    </row>
    <row r="60">
      <c r="B60" s="128" t="n"/>
      <c r="D60" s="564" t="n"/>
      <c r="E60" s="563">
        <f>+E59+C60-D60</f>
        <v/>
      </c>
      <c r="I60" s="128" t="n"/>
      <c r="K60" s="564" t="n"/>
      <c r="O60" s="1" t="n"/>
    </row>
    <row r="61">
      <c r="B61" s="128" t="n"/>
      <c r="D61" s="564" t="n"/>
      <c r="E61" s="563">
        <f>+E60+C61-D61</f>
        <v/>
      </c>
      <c r="I61" s="128" t="n"/>
      <c r="K61" s="564" t="n"/>
      <c r="O61" s="1" t="n"/>
    </row>
    <row r="62">
      <c r="A62" s="156" t="n">
        <v>46107</v>
      </c>
      <c r="B62" s="241" t="inlineStr">
        <is>
          <t>回款</t>
        </is>
      </c>
      <c r="C62" s="112" t="n">
        <v>1648</v>
      </c>
      <c r="D62" s="112" t="n"/>
      <c r="E62" s="572">
        <f>+E61+C62-D62</f>
        <v/>
      </c>
      <c r="O62" s="0" t="inlineStr">
        <is>
          <t>24惠元8C</t>
        </is>
      </c>
      <c r="P62" s="464">
        <f>XIRR(P63:P64,O63:O64)</f>
        <v/>
      </c>
      <c r="S62" s="0" t="inlineStr">
        <is>
          <t>24工元至诚4C</t>
        </is>
      </c>
      <c r="T62" s="464">
        <f>XIRR(T63:T64,S63:S64)</f>
        <v/>
      </c>
    </row>
    <row r="63">
      <c r="A63" s="156" t="n">
        <v>46107</v>
      </c>
      <c r="B63" s="112" t="inlineStr">
        <is>
          <t>苏誉缴款</t>
        </is>
      </c>
      <c r="C63" s="112" t="n"/>
      <c r="D63" s="112">
        <f>74+43</f>
        <v/>
      </c>
      <c r="E63" s="572">
        <f>+E62+C63-D63</f>
        <v/>
      </c>
      <c r="F63" s="0" t="inlineStr">
        <is>
          <t>26苏誉1优先，代码2689037，74w，2.05%，3-26缴款，ideal分销外贸信托朗瑞1号8期，孟亚琪；</t>
        </is>
      </c>
      <c r="O63" s="131" t="n">
        <v>45986</v>
      </c>
      <c r="P63" s="0" t="n">
        <v>-111</v>
      </c>
      <c r="S63" s="131" t="n">
        <v>45986</v>
      </c>
      <c r="T63" s="0" t="n">
        <v>-116</v>
      </c>
    </row>
    <row r="64">
      <c r="A64" s="156" t="n">
        <v>46111</v>
      </c>
      <c r="B64" s="112" t="inlineStr">
        <is>
          <t>元康29赎回</t>
        </is>
      </c>
      <c r="C64" s="112" t="n"/>
      <c r="D64" s="112" t="n">
        <v>1663</v>
      </c>
      <c r="E64" s="572">
        <f>+E63+C64-D64</f>
        <v/>
      </c>
      <c r="F64" s="0" t="inlineStr">
        <is>
          <t>26苏誉1C，代码2689038，43w，100元，3-26缴款，ideal分销外贸信托朗瑞1号8期，孟亚琪；</t>
        </is>
      </c>
      <c r="O64" s="1" t="n">
        <v>46058</v>
      </c>
      <c r="P64" s="0">
        <f>-P63*(1+5%/365*(O64-O63))</f>
        <v/>
      </c>
      <c r="S64" s="1" t="n">
        <v>46058</v>
      </c>
      <c r="T64" s="0">
        <f>-T63*(1+5%/365*(S64-S63))</f>
        <v/>
      </c>
    </row>
    <row r="65">
      <c r="A65" s="156" t="n"/>
      <c r="B65" s="112" t="n"/>
      <c r="C65" s="112" t="n"/>
      <c r="D65" s="112" t="n"/>
      <c r="E65" s="572">
        <f>+E64+C65-D65</f>
        <v/>
      </c>
    </row>
    <row r="66">
      <c r="A66" s="156" t="n">
        <v>46122</v>
      </c>
      <c r="B66" s="112" t="inlineStr">
        <is>
          <t>慧聚领航申购</t>
        </is>
      </c>
      <c r="C66" s="112">
        <f>慧聚领航1号!D23</f>
        <v/>
      </c>
      <c r="D66" s="112" t="n"/>
      <c r="E66" s="591" t="n">
        <v>53.3</v>
      </c>
      <c r="O66" s="0" t="inlineStr">
        <is>
          <t>日期</t>
        </is>
      </c>
      <c r="P66" s="464" t="n">
        <v>0.06933268010616303</v>
      </c>
      <c r="S66" s="1" t="inlineStr">
        <is>
          <t>朗瑞1号8期</t>
        </is>
      </c>
    </row>
    <row r="67">
      <c r="A67" s="156" t="n"/>
      <c r="B67" s="112" t="n"/>
      <c r="C67" s="112" t="n"/>
      <c r="D67" s="112" t="n"/>
      <c r="E67" s="563">
        <f>+E66+C67-D67</f>
        <v/>
      </c>
      <c r="H67" s="128" t="n"/>
      <c r="I67" s="657" t="n"/>
      <c r="O67" s="1" t="n">
        <v>45618</v>
      </c>
      <c r="P67" s="0" t="n">
        <v>-103</v>
      </c>
      <c r="S67" s="1" t="inlineStr">
        <is>
          <t>日期</t>
        </is>
      </c>
      <c r="T67" s="464">
        <f>XIRR(T68:T71,S68:S71)</f>
        <v/>
      </c>
    </row>
    <row r="68">
      <c r="A68" s="156" t="n">
        <v>46133</v>
      </c>
      <c r="B68" s="112" t="inlineStr">
        <is>
          <t>慧聚领航</t>
        </is>
      </c>
      <c r="C68" s="112" t="n">
        <v>600</v>
      </c>
      <c r="D68" s="112" t="n"/>
      <c r="E68" s="563">
        <f>+E67+C68-D68</f>
        <v/>
      </c>
      <c r="H68" s="128" t="n"/>
      <c r="I68" s="657" t="n"/>
      <c r="O68" s="1" t="n">
        <v>46086</v>
      </c>
      <c r="P68" s="658">
        <f>-P67*(1+7%*(O68-O67)/365)</f>
        <v/>
      </c>
      <c r="Q68" s="0" t="n">
        <v>113.53</v>
      </c>
      <c r="S68" s="1" t="n">
        <v>45905</v>
      </c>
      <c r="T68" s="563" t="n">
        <v>-16539225</v>
      </c>
    </row>
    <row r="69">
      <c r="A69" s="156" t="n">
        <v>46133</v>
      </c>
      <c r="B69" s="112" t="inlineStr">
        <is>
          <t>25惠元6C</t>
        </is>
      </c>
      <c r="C69" s="112" t="n"/>
      <c r="D69" s="112" t="n">
        <v>540</v>
      </c>
      <c r="E69" s="572">
        <f>+E68+C69-D69</f>
        <v/>
      </c>
      <c r="F69" s="562" t="inlineStr">
        <is>
          <t>4/21,+0, 25惠元6C[2589190.IB]，646w，83.6051，银河证券 xx to 外贸信托朗瑞1号8期 孟亚琪2881131472</t>
        </is>
      </c>
      <c r="H69" s="128" t="n"/>
      <c r="I69" s="657" t="n"/>
      <c r="O69" s="1" t="n"/>
      <c r="S69" s="1" t="n">
        <v>45986</v>
      </c>
      <c r="T69" s="563" t="n">
        <v>16650000</v>
      </c>
    </row>
    <row r="70">
      <c r="A70" s="156" t="n"/>
      <c r="B70" s="112" t="n"/>
      <c r="C70" s="112" t="n"/>
      <c r="D70" s="112" t="n"/>
      <c r="E70" s="572">
        <f>+E69+C70-D70</f>
        <v/>
      </c>
      <c r="H70" s="128" t="n"/>
      <c r="I70" s="657" t="n"/>
      <c r="O70" s="1" t="n"/>
      <c r="S70" s="1" t="n">
        <v>46058</v>
      </c>
      <c r="T70" s="563" t="n">
        <v>-16818720</v>
      </c>
      <c r="U70" s="0" t="n">
        <v>-112.1248</v>
      </c>
    </row>
    <row r="71">
      <c r="A71" s="156" t="n">
        <v>46134</v>
      </c>
      <c r="B71" s="112" t="inlineStr">
        <is>
          <t>25福鑫4C</t>
        </is>
      </c>
      <c r="C71" s="112" t="n"/>
      <c r="D71" s="578">
        <f>40*105.7726/100</f>
        <v/>
      </c>
      <c r="E71" s="572">
        <f>+E70+C71-D71</f>
        <v/>
      </c>
      <c r="F71" s="562" t="inlineStr">
        <is>
          <t>4/22，t+0，25福鑫4C[2589218.IB]，40w，105.7726，国泰海通xx to 外贸信托朗瑞1号8期 孟亚琪2881131472</t>
        </is>
      </c>
      <c r="H71" s="128" t="n"/>
      <c r="I71" s="657" t="n"/>
      <c r="S71" s="1" t="n">
        <v>46086</v>
      </c>
      <c r="T71" s="563" t="n">
        <v>17341791.12328767</v>
      </c>
    </row>
    <row r="72">
      <c r="A72" s="156" t="n"/>
      <c r="B72" s="112" t="n"/>
      <c r="C72" s="112" t="n"/>
      <c r="D72" s="112" t="n"/>
      <c r="E72" s="572">
        <f>+E71+C72-D72</f>
        <v/>
      </c>
      <c r="H72" s="128" t="n"/>
      <c r="I72" s="657" t="n"/>
    </row>
    <row r="73">
      <c r="A73" s="156" t="n">
        <v>46135</v>
      </c>
      <c r="B73" s="112" t="inlineStr">
        <is>
          <t>回款</t>
        </is>
      </c>
      <c r="C73" s="112" t="n">
        <v>384.7</v>
      </c>
      <c r="D73" s="112" t="n"/>
      <c r="E73" s="572">
        <f>+E72+C73-D73</f>
        <v/>
      </c>
    </row>
    <row r="74">
      <c r="A74" s="156" t="n"/>
      <c r="B74" s="112" t="n"/>
      <c r="C74" s="112" t="n"/>
      <c r="D74" s="112" t="n"/>
      <c r="E74" s="572">
        <f>+E73+C74-D74</f>
        <v/>
      </c>
      <c r="N74" s="0" t="inlineStr">
        <is>
          <t>补优先贴息</t>
        </is>
      </c>
    </row>
    <row r="75">
      <c r="A75" s="156" t="n">
        <v>46135</v>
      </c>
      <c r="B75" s="112" t="inlineStr">
        <is>
          <t>25橙益22C</t>
        </is>
      </c>
      <c r="C75" s="112" t="n"/>
      <c r="D75" s="112" t="n">
        <v>20.557</v>
      </c>
      <c r="E75" s="572">
        <f>+E74+C75-D75</f>
        <v/>
      </c>
      <c r="F75" s="562" t="inlineStr">
        <is>
          <t>4/23, 25橙益22C[2589366.IB]，20w，102.785，国泰海通 冉雅婷 to 外贸信托朗瑞1号8期 孟亚琪2881131472</t>
        </is>
      </c>
      <c r="N75" s="0">
        <f>(100-99.85)*35/100+(100-99.813)*500/100</f>
        <v/>
      </c>
    </row>
    <row r="76">
      <c r="A76" s="156" t="n">
        <v>46135</v>
      </c>
      <c r="B76" s="112" t="inlineStr">
        <is>
          <t>25橙益23C</t>
        </is>
      </c>
      <c r="C76" s="112" t="n"/>
      <c r="D76" s="112" t="n">
        <v>217.87</v>
      </c>
      <c r="E76" s="572">
        <f>+E75+C76-D76</f>
        <v/>
      </c>
      <c r="F76" s="562" t="inlineStr">
        <is>
          <t>4/23, 25橙益23C[2589368.IB]，200w，108.935，国泰海通 冉雅婷 to 外贸信托朗瑞1号8期 孟亚琪2881131472</t>
        </is>
      </c>
      <c r="L76" s="0" t="inlineStr">
        <is>
          <t>价格</t>
        </is>
      </c>
      <c r="P76" s="0" t="inlineStr">
        <is>
          <t>调整后价格</t>
        </is>
      </c>
      <c r="Q76" s="0" t="inlineStr">
        <is>
          <t>交易规模</t>
        </is>
      </c>
    </row>
    <row r="77">
      <c r="A77" s="156" t="n">
        <v>46135</v>
      </c>
      <c r="B77" s="112" t="inlineStr">
        <is>
          <t>25工元至诚惠银2C</t>
        </is>
      </c>
      <c r="C77" s="112" t="n"/>
      <c r="D77" s="112" t="n">
        <v>110.575</v>
      </c>
      <c r="E77" s="572">
        <f>+E76+C77-D77</f>
        <v/>
      </c>
      <c r="F77" s="562" t="inlineStr">
        <is>
          <t>4/23, 25工元至诚惠银2C[2589222.IB]，100w，110.575，国泰海通 冉雅婷 to 外贸信托朗瑞1号8期 孟亚琪2881131472</t>
        </is>
      </c>
      <c r="I77" s="0" t="inlineStr">
        <is>
          <t>2589366.IB</t>
        </is>
      </c>
      <c r="J77" s="0" t="inlineStr">
        <is>
          <t>25橙益22C</t>
        </is>
      </c>
      <c r="K77" s="0" t="n">
        <v>20</v>
      </c>
      <c r="L77" s="564">
        <f>+K88</f>
        <v/>
      </c>
      <c r="M77" s="564">
        <f>+L77*K77/100</f>
        <v/>
      </c>
      <c r="N77" s="586" t="n">
        <v>0.04702380952380905</v>
      </c>
      <c r="O77" s="564">
        <f>+M77+N77</f>
        <v/>
      </c>
      <c r="P77" s="0">
        <f>ROUND(+O77/K77*100,3)</f>
        <v/>
      </c>
      <c r="Q77" s="564">
        <f>+P77*K77/100</f>
        <v/>
      </c>
      <c r="R77" s="0">
        <f>"4/23, "&amp;J77&amp;"["&amp;I77&amp;"]，"&amp;K77&amp;"w，"&amp;P77&amp;"，国泰海通 冉雅婷 to 外贸信托朗瑞1号8期 孟亚琪2881131472"</f>
        <v/>
      </c>
    </row>
    <row r="78">
      <c r="A78" s="156" t="n"/>
      <c r="B78" s="112" t="n"/>
      <c r="C78" s="112" t="n"/>
      <c r="D78" s="112" t="n"/>
      <c r="E78" s="572">
        <f>+E77+C78-D78</f>
        <v/>
      </c>
      <c r="I78" s="0" t="inlineStr">
        <is>
          <t>2589368.IB</t>
        </is>
      </c>
      <c r="J78" s="0" t="inlineStr">
        <is>
          <t>25橙益23C</t>
        </is>
      </c>
      <c r="K78" s="0" t="n">
        <v>200</v>
      </c>
      <c r="L78" s="564">
        <f>+M88</f>
        <v/>
      </c>
      <c r="M78" s="564">
        <f>+L78*K78/100</f>
        <v/>
      </c>
      <c r="N78" s="586" t="n">
        <v>0.4702380952380905</v>
      </c>
      <c r="O78" s="564">
        <f>+M78+N78</f>
        <v/>
      </c>
      <c r="P78" s="0">
        <f>ROUND(+O78/K78*100,3)</f>
        <v/>
      </c>
      <c r="Q78" s="564">
        <f>+P78*K78/100</f>
        <v/>
      </c>
      <c r="R78" s="0">
        <f>"4/23, "&amp;J78&amp;"["&amp;I78&amp;"]，"&amp;K78&amp;"w，"&amp;P78&amp;"，国泰海通 冉雅婷 to 外贸信托朗瑞1号8期 孟亚琪2881131472"</f>
        <v/>
      </c>
    </row>
    <row r="79">
      <c r="A79" s="156" t="n">
        <v>46135</v>
      </c>
      <c r="B79" s="112" t="inlineStr">
        <is>
          <t>25浦鑫归航5优先</t>
        </is>
      </c>
      <c r="C79" s="112" t="n"/>
      <c r="D79" s="112" t="n">
        <v>96.14230000000001</v>
      </c>
      <c r="E79" s="572">
        <f>+E78+C79-D79</f>
        <v/>
      </c>
      <c r="F79" s="562" t="inlineStr">
        <is>
          <t>4/23, 25浦鑫归航5优先[2589301.IB]，80w，95.07，国泰海通 冉雅婷 to 外贸信托朗瑞1号8期 孟亚琪2881131472；
25浦鑫归航5优先，2589301，20w，20260423，净价95.07/全价96.1423；国泰海通 田飞凡 to 外贸信托朗瑞1号8期，孟亚琪</t>
        </is>
      </c>
      <c r="I79" s="0" t="inlineStr">
        <is>
          <t>2589222.IB</t>
        </is>
      </c>
      <c r="J79" s="0" t="inlineStr">
        <is>
          <t>25工元至诚惠银2C</t>
        </is>
      </c>
      <c r="K79" s="0" t="n">
        <v>100</v>
      </c>
      <c r="L79" s="564">
        <f>O88</f>
        <v/>
      </c>
      <c r="M79" s="564">
        <f>+L79*K79/100</f>
        <v/>
      </c>
      <c r="N79" s="586" t="n">
        <v>0.2351190476190453</v>
      </c>
      <c r="O79" s="564">
        <f>+M79+N79</f>
        <v/>
      </c>
      <c r="P79" s="0">
        <f>ROUND(+O79/K79*100,3)</f>
        <v/>
      </c>
      <c r="Q79" s="564">
        <f>+P79*K79/100</f>
        <v/>
      </c>
      <c r="R79" s="0">
        <f>"4/23, "&amp;J79&amp;"["&amp;I79&amp;"]，"&amp;K79&amp;"w，"&amp;P79&amp;"，国泰海通 冉雅婷 to 外贸信托朗瑞1号8期 孟亚琪2881131472"</f>
        <v/>
      </c>
    </row>
    <row r="80">
      <c r="A80" s="156" t="n"/>
      <c r="B80" s="112" t="n"/>
      <c r="C80" s="112" t="n"/>
      <c r="D80" s="112" t="n"/>
      <c r="E80" s="572">
        <f>+E79+C80-D80</f>
        <v/>
      </c>
      <c r="I80" s="0" t="inlineStr">
        <is>
          <t>2589350.IB</t>
        </is>
      </c>
      <c r="J80" s="0" t="inlineStr">
        <is>
          <t>25浦鑫归航7C</t>
        </is>
      </c>
      <c r="K80" s="0" t="n">
        <v>150</v>
      </c>
      <c r="L80" s="564">
        <f>+Q88</f>
        <v/>
      </c>
      <c r="M80" s="564">
        <f>+L80*K80/100</f>
        <v/>
      </c>
      <c r="N80" s="586">
        <f>(N75-SUM(N77:N79))</f>
        <v/>
      </c>
      <c r="O80" s="564">
        <f>+M80+N80</f>
        <v/>
      </c>
      <c r="P80" s="0">
        <f>ROUND(+O80/K80*100,3)</f>
        <v/>
      </c>
      <c r="Q80" s="564">
        <f>+P80*K80/100</f>
        <v/>
      </c>
      <c r="R80" s="0">
        <f>"4/23, "&amp;J80&amp;"["&amp;I80&amp;"]，"&amp;K80&amp;"w，"&amp;P80&amp;"，国泰海通 冉雅婷 to 粤财鹏雅10号第120期 王同博 QT员工号：3004238546"</f>
        <v/>
      </c>
    </row>
    <row r="81">
      <c r="A81" s="156" t="n"/>
      <c r="B81" s="112" t="n"/>
      <c r="C81" s="112" t="n"/>
      <c r="D81" s="112" t="n"/>
      <c r="E81" s="572">
        <f>+E80+C81-D81</f>
        <v/>
      </c>
      <c r="I81" s="0" t="inlineStr">
        <is>
          <t>2589301.IB</t>
        </is>
      </c>
      <c r="J81" s="0" t="inlineStr">
        <is>
          <t>25浦鑫归航5优先</t>
        </is>
      </c>
      <c r="K81" s="0" t="n">
        <v>80</v>
      </c>
      <c r="L81" s="564" t="n">
        <v>95.06999999999999</v>
      </c>
      <c r="M81" s="564" t="n"/>
      <c r="N81" s="586" t="n"/>
      <c r="O81" s="564" t="n"/>
      <c r="P81" s="573">
        <f>+L81</f>
        <v/>
      </c>
      <c r="Q81" s="564">
        <f>+P81*K81/100</f>
        <v/>
      </c>
      <c r="R81" s="0">
        <f>"4/23, "&amp;J81&amp;"["&amp;I81&amp;"]，"&amp;K81&amp;"w，"&amp;P81&amp;"，国泰海通 冉雅婷 to 外贸信托朗瑞1号8期 孟亚琪2881131472"</f>
        <v/>
      </c>
    </row>
    <row r="82">
      <c r="A82" s="156" t="n">
        <v>46139</v>
      </c>
      <c r="B82" s="112" t="inlineStr">
        <is>
          <t>回款</t>
        </is>
      </c>
      <c r="C82" s="112" t="n">
        <v>2465.7</v>
      </c>
      <c r="D82" s="112" t="n"/>
      <c r="E82" s="572">
        <f>+E81+C82-D82</f>
        <v/>
      </c>
      <c r="K82" s="0">
        <f>SUM(K77:K81)</f>
        <v/>
      </c>
      <c r="M82" s="169">
        <f>SUM(M77:M80)</f>
        <v/>
      </c>
      <c r="Q82" s="659">
        <f>SUM(Q77:Q81)</f>
        <v/>
      </c>
    </row>
    <row r="83">
      <c r="A83" s="156" t="n">
        <v>46140</v>
      </c>
      <c r="B83" s="112" t="inlineStr">
        <is>
          <t>元康29号赎回</t>
        </is>
      </c>
      <c r="C83" s="112" t="n"/>
      <c r="D83" s="112" t="n">
        <v>2301.3</v>
      </c>
      <c r="E83" s="572">
        <f>+E82+C83-D83</f>
        <v/>
      </c>
      <c r="F83" s="562" t="inlineStr">
        <is>
          <t>4/24发出</t>
        </is>
      </c>
      <c r="I83" s="0" t="inlineStr">
        <is>
          <t>2589218.IB</t>
        </is>
      </c>
      <c r="J83" s="0" t="inlineStr">
        <is>
          <t>25福鑫4C</t>
        </is>
      </c>
      <c r="K83" s="0" t="n">
        <v>40</v>
      </c>
      <c r="M83" s="564">
        <f>+L83*K83/100</f>
        <v/>
      </c>
      <c r="N83" s="0" t="n">
        <v>0</v>
      </c>
      <c r="O83" s="0" t="n">
        <v>0</v>
      </c>
      <c r="P83" s="201">
        <f>ROUND(+O83/K83*100,3)</f>
        <v/>
      </c>
      <c r="Q83" s="564">
        <f>+P83*K83/100</f>
        <v/>
      </c>
      <c r="R83" s="0">
        <f>"4/23, "&amp;J83&amp;"["&amp;I83&amp;"]，"&amp;K83&amp;"w，"&amp;P83&amp;"，国泰海通 冉雅婷 to 外贸信托朗瑞1号8期 孟亚琪2881131472"</f>
        <v/>
      </c>
    </row>
    <row r="84">
      <c r="A84" s="156" t="n">
        <v>46141</v>
      </c>
      <c r="B84" s="112" t="inlineStr">
        <is>
          <t>元康29号申购</t>
        </is>
      </c>
      <c r="C84" s="112" t="n">
        <v>30</v>
      </c>
      <c r="D84" s="112" t="n"/>
      <c r="E84" s="572">
        <f>+E83+C84-D84</f>
        <v/>
      </c>
      <c r="F84" s="562" t="inlineStr">
        <is>
          <t>已发</t>
        </is>
      </c>
    </row>
    <row r="85">
      <c r="A85" s="156" t="n">
        <v>46142</v>
      </c>
      <c r="B85" s="112" t="inlineStr">
        <is>
          <t>支付费用</t>
        </is>
      </c>
      <c r="C85" s="112" t="n"/>
      <c r="D85" s="112" t="n">
        <v>82</v>
      </c>
      <c r="E85" s="572">
        <f>+E84+C85-D85</f>
        <v/>
      </c>
    </row>
    <row r="86">
      <c r="A86" s="156" t="n"/>
      <c r="B86" s="112" t="n"/>
      <c r="C86" s="112" t="n"/>
      <c r="D86" s="112" t="n"/>
      <c r="E86" s="572">
        <f>+E85+C86-D86</f>
        <v/>
      </c>
      <c r="J86" s="0" t="inlineStr">
        <is>
          <t>25橙益22C</t>
        </is>
      </c>
      <c r="K86" s="464">
        <f>XIRR(K87:K88,J87:J88)</f>
        <v/>
      </c>
      <c r="L86" s="0" t="inlineStr">
        <is>
          <t>25橙益23C</t>
        </is>
      </c>
      <c r="M86" s="464">
        <f>XIRR(M87:M88,L87:L88)</f>
        <v/>
      </c>
      <c r="N86" s="0" t="inlineStr">
        <is>
          <t>25工元至诚惠银2C</t>
        </is>
      </c>
      <c r="O86" s="464">
        <f>XIRR(O87:O88,N87:N88)</f>
        <v/>
      </c>
      <c r="P86" s="0" t="inlineStr">
        <is>
          <t>25浦鑫归航7C</t>
        </is>
      </c>
      <c r="Q86" s="464">
        <f>XIRR(Q87:Q88,P87:P88)</f>
        <v/>
      </c>
    </row>
    <row r="87">
      <c r="A87" s="156" t="n"/>
      <c r="B87" s="112" t="n"/>
      <c r="C87" s="112" t="n"/>
      <c r="D87" s="112" t="n"/>
      <c r="E87" s="572">
        <f>+E86+C87-D87</f>
        <v/>
      </c>
      <c r="J87" s="1" t="n">
        <v>45926</v>
      </c>
      <c r="K87" s="0" t="n">
        <v>-100</v>
      </c>
      <c r="L87" s="1" t="n">
        <v>45926</v>
      </c>
      <c r="M87" s="0" t="n">
        <v>-106</v>
      </c>
      <c r="N87" s="1" t="n">
        <v>45835</v>
      </c>
      <c r="O87" s="0" t="n">
        <v>-106</v>
      </c>
      <c r="P87" s="1" t="n">
        <v>45923</v>
      </c>
      <c r="Q87" s="0" t="n">
        <v>-100</v>
      </c>
    </row>
    <row r="88">
      <c r="A88" s="156" t="n">
        <v>46162</v>
      </c>
      <c r="B88" s="112" t="inlineStr">
        <is>
          <t>回款</t>
        </is>
      </c>
      <c r="C88" s="112" t="n">
        <v>113.2</v>
      </c>
      <c r="D88" s="112" t="n"/>
      <c r="E88" s="572">
        <f>+E87+C88-D88</f>
        <v/>
      </c>
      <c r="J88" s="117" t="n">
        <v>46135</v>
      </c>
      <c r="K88" s="169" t="n">
        <v>102.55</v>
      </c>
      <c r="L88" s="117" t="n">
        <v>46135</v>
      </c>
      <c r="M88" s="169" t="n">
        <v>108.7</v>
      </c>
      <c r="N88" s="117" t="n">
        <v>46135</v>
      </c>
      <c r="O88" s="587" t="n">
        <v>110.34</v>
      </c>
      <c r="P88" s="117" t="n">
        <v>46135</v>
      </c>
      <c r="Q88" s="587" t="n">
        <v>102.59</v>
      </c>
    </row>
    <row r="89">
      <c r="E89" s="563">
        <f>+E88+C89-D89</f>
        <v/>
      </c>
    </row>
    <row r="90">
      <c r="E90" s="563">
        <f>+E89+C90-D90</f>
        <v/>
      </c>
    </row>
    <row r="91">
      <c r="E91" s="563">
        <f>+E90+C91-D91</f>
        <v/>
      </c>
    </row>
    <row r="92">
      <c r="E92" s="563">
        <f>+E91+C92-D92</f>
        <v/>
      </c>
    </row>
    <row r="93">
      <c r="E93" s="563">
        <f>+E92+C93-D93</f>
        <v/>
      </c>
    </row>
    <row r="94">
      <c r="E94" s="563">
        <f>+E93+C94-D94</f>
        <v/>
      </c>
    </row>
    <row r="95">
      <c r="E95" s="563">
        <f>+E94+C95-D95</f>
        <v/>
      </c>
    </row>
    <row r="96">
      <c r="E96" s="563">
        <f>+E95+C96-D96</f>
        <v/>
      </c>
    </row>
    <row r="97">
      <c r="E97" s="563">
        <f>+E96+C97-D97</f>
        <v/>
      </c>
    </row>
    <row r="98">
      <c r="E98" s="563">
        <f>+E97+C98-D98</f>
        <v/>
      </c>
    </row>
    <row r="99">
      <c r="E99" s="563">
        <f>+E98+C99-D99</f>
        <v/>
      </c>
    </row>
    <row r="100">
      <c r="E100" s="563">
        <f>+E99+C100-D100</f>
        <v/>
      </c>
    </row>
    <row r="101">
      <c r="E101" s="563">
        <f>+E100+C101-D101</f>
        <v/>
      </c>
    </row>
  </sheetData>
  <conditionalFormatting sqref="E1:E1048576">
    <cfRule type="cellIs" priority="1" operator="lessThan" dxfId="0">
      <formula>0</formula>
    </cfRule>
  </conditionalFormatting>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F41"/>
  <sheetViews>
    <sheetView topLeftCell="A10" workbookViewId="0">
      <selection activeCell="E10" sqref="E1:E1048576"/>
    </sheetView>
  </sheetViews>
  <sheetFormatPr baseColWidth="8" defaultRowHeight="16.5"/>
  <cols>
    <col width="10" bestFit="1" customWidth="1" style="4" min="1" max="1"/>
    <col width="16" customWidth="1" style="326" min="2" max="2"/>
    <col width="10.125" customWidth="1" style="326" min="3" max="3"/>
    <col width="10" customWidth="1" style="326" min="4" max="4"/>
    <col width="8.75" bestFit="1" customWidth="1" style="563" min="5" max="5"/>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46052</v>
      </c>
      <c r="B3" s="112" t="inlineStr">
        <is>
          <t>元康1申购</t>
        </is>
      </c>
      <c r="C3" s="112" t="n">
        <v>50</v>
      </c>
      <c r="D3" s="112" t="n"/>
      <c r="E3" s="572" t="n">
        <v>50</v>
      </c>
    </row>
    <row r="4">
      <c r="A4" s="156" t="n"/>
      <c r="B4" s="112" t="inlineStr">
        <is>
          <t>元康9申购</t>
        </is>
      </c>
      <c r="C4" s="112" t="n">
        <v>150</v>
      </c>
      <c r="D4" s="112" t="n"/>
      <c r="E4" s="572">
        <f>+E3+C4-D4</f>
        <v/>
      </c>
    </row>
    <row r="5">
      <c r="A5" s="156" t="n"/>
      <c r="B5" s="268" t="n"/>
      <c r="C5" s="610" t="n"/>
      <c r="D5" s="610" t="n"/>
      <c r="E5" s="572">
        <f>+E4+C5-D5</f>
        <v/>
      </c>
    </row>
    <row r="6">
      <c r="A6" s="156" t="n">
        <v>46056</v>
      </c>
      <c r="B6" s="268" t="inlineStr">
        <is>
          <t>25东裕7叔裕ABN001次</t>
        </is>
      </c>
      <c r="C6" s="652" t="n"/>
      <c r="D6" s="652">
        <f>190*1.032454</f>
        <v/>
      </c>
      <c r="E6" s="572" t="n">
        <v>3.8</v>
      </c>
      <c r="F6" s="0" t="inlineStr">
        <is>
          <t>1、25东裕7叔裕ABN001次,082501056.IB,190w,103.2454,2-3，t+0，国泰海通 夏雪 QT号：3007305611to 粤财信托鹏雅10号119期 王同博 QT员工号：3004238546</t>
        </is>
      </c>
    </row>
    <row r="7">
      <c r="A7" s="156" t="n">
        <v>46080</v>
      </c>
      <c r="B7" s="268" t="inlineStr">
        <is>
          <t>元康盛景30号申购</t>
        </is>
      </c>
      <c r="C7" s="610" t="n">
        <v>380</v>
      </c>
      <c r="D7" s="611" t="n"/>
      <c r="E7" s="572">
        <f>+E6+C7-D7</f>
        <v/>
      </c>
    </row>
    <row r="8">
      <c r="A8" s="156" t="n">
        <v>46083</v>
      </c>
      <c r="B8" s="268" t="inlineStr">
        <is>
          <t>25美团美好ABN002次</t>
        </is>
      </c>
      <c r="C8" s="610" t="n"/>
      <c r="D8" s="611" t="n">
        <v>381</v>
      </c>
      <c r="E8" s="638" t="n">
        <v>2.3</v>
      </c>
      <c r="F8" s="64" t="inlineStr">
        <is>
          <t>25美团美好ABN002次，082580682.IB，370w，103.101, 3-2，国泰海通 冉雅婷 QT号：2881971956 to 粤财信托鹏雅10号集合资金信托计划119期 王同博 QT员工号：3004238546</t>
        </is>
      </c>
    </row>
    <row r="9">
      <c r="A9" s="156" t="n"/>
      <c r="B9" s="268" t="n"/>
      <c r="C9" s="610" t="n"/>
      <c r="D9" s="611" t="n"/>
      <c r="E9" s="572">
        <f>+E8+C9-D9</f>
        <v/>
      </c>
    </row>
    <row r="10">
      <c r="A10" s="156" t="n"/>
      <c r="B10" s="612" t="n"/>
      <c r="C10" s="611" t="n"/>
      <c r="D10" s="611" t="n"/>
      <c r="E10" s="572">
        <f>+E9+C10-D10</f>
        <v/>
      </c>
    </row>
    <row r="11">
      <c r="A11" s="156" t="n">
        <v>46104</v>
      </c>
      <c r="B11" s="112" t="inlineStr">
        <is>
          <t>元康9追加</t>
        </is>
      </c>
      <c r="C11" s="112" t="n">
        <v>1000</v>
      </c>
      <c r="D11" s="112" t="n"/>
      <c r="E11" s="572">
        <f>+E10+C11-D11</f>
        <v/>
      </c>
    </row>
    <row r="12">
      <c r="A12" s="156" t="n">
        <v>46105</v>
      </c>
      <c r="B12" s="112" t="inlineStr">
        <is>
          <t>26锦新小微ABN002次</t>
        </is>
      </c>
      <c r="C12" s="112" t="n"/>
      <c r="D12" s="112" t="n">
        <v>1000</v>
      </c>
      <c r="E12" s="572">
        <f>+E11+C12-D12</f>
        <v/>
      </c>
      <c r="F12" s="0" t="inlineStr">
        <is>
          <t>3/24，26锦新小微ABN002次，082680162,1000w，5.7%，一级缴款，鹏雅10期119号；ideal麻烦发粤财信托刘硕 13650996026</t>
        </is>
      </c>
    </row>
    <row r="13">
      <c r="A13" s="156" t="n"/>
      <c r="B13" s="112" t="n"/>
      <c r="C13" s="112" t="n"/>
      <c r="D13" s="112" t="n"/>
      <c r="E13" s="572">
        <f>+E12+C13-D13</f>
        <v/>
      </c>
    </row>
    <row r="14">
      <c r="A14" s="156" t="n">
        <v>46122</v>
      </c>
      <c r="B14" s="112" t="inlineStr">
        <is>
          <t>元康17追加</t>
        </is>
      </c>
      <c r="C14" s="112" t="n">
        <v>475</v>
      </c>
      <c r="D14" s="112" t="n"/>
      <c r="E14" s="572">
        <f>+E13+C14-D14</f>
        <v/>
      </c>
    </row>
    <row r="15">
      <c r="A15" s="156" t="n">
        <v>46122</v>
      </c>
      <c r="B15" s="649" t="inlineStr">
        <is>
          <t>25美团美好ABN002次</t>
        </is>
      </c>
      <c r="C15" s="417" t="n"/>
      <c r="D15" s="112">
        <f>450*103.52/100</f>
        <v/>
      </c>
      <c r="E15" s="572">
        <f>+E14+C15-D15</f>
        <v/>
      </c>
      <c r="F15" s="0" t="inlineStr">
        <is>
          <t>25美团美好ABN002次[082580682.IB]，450w，103.52，4月10日，国泰海通 冉雅婷 2881971956 to 粤财信托鹏雅10号119期 王同博 QT员工号：3004238546</t>
        </is>
      </c>
    </row>
    <row r="16">
      <c r="A16" s="156" t="n"/>
      <c r="B16" s="112" t="n"/>
      <c r="C16" s="112" t="n"/>
      <c r="D16" s="112" t="n"/>
      <c r="E16" s="572">
        <f>+E15+C16-D16</f>
        <v/>
      </c>
    </row>
    <row r="17">
      <c r="A17" s="156" t="n">
        <v>46127</v>
      </c>
      <c r="B17" s="112" t="inlineStr">
        <is>
          <t>元康17号</t>
        </is>
      </c>
      <c r="C17" s="112" t="n">
        <v>8</v>
      </c>
      <c r="D17" s="112" t="n"/>
      <c r="E17" s="572">
        <f>+E16+C17-D17</f>
        <v/>
      </c>
    </row>
    <row r="18">
      <c r="A18" s="156" t="n"/>
      <c r="B18" s="112" t="n"/>
      <c r="C18" s="112" t="n"/>
      <c r="D18" s="112" t="n"/>
      <c r="E18" s="572">
        <f>+E17+C18-D18</f>
        <v/>
      </c>
    </row>
    <row r="19">
      <c r="A19" s="156" t="n"/>
      <c r="B19" s="112" t="inlineStr">
        <is>
          <t>信保基金</t>
        </is>
      </c>
      <c r="C19" s="112" t="n"/>
      <c r="D19" s="112" t="n">
        <v>16</v>
      </c>
      <c r="E19" s="572">
        <f>+E18+C19-D19</f>
        <v/>
      </c>
    </row>
    <row r="20">
      <c r="A20" s="156" t="n"/>
      <c r="B20" s="112" t="n"/>
      <c r="C20" s="112" t="n"/>
      <c r="D20" s="112" t="n"/>
      <c r="E20" s="572">
        <f>+E19+C20-D20</f>
        <v/>
      </c>
    </row>
    <row r="21">
      <c r="A21" s="156" t="n"/>
      <c r="B21" s="112" t="n"/>
      <c r="C21" s="112" t="n"/>
      <c r="D21" s="112" t="n"/>
      <c r="E21" s="572">
        <f>+E20+C21-D21</f>
        <v/>
      </c>
    </row>
    <row r="22">
      <c r="A22" s="156" t="n">
        <v>46140</v>
      </c>
      <c r="B22" s="112" t="inlineStr">
        <is>
          <t>元康17号</t>
        </is>
      </c>
      <c r="C22" s="112" t="n">
        <v>700</v>
      </c>
      <c r="D22" s="112" t="n"/>
      <c r="E22" s="572">
        <f>+E21+C22-D22</f>
        <v/>
      </c>
    </row>
    <row r="23">
      <c r="A23" s="156" t="n">
        <v>46140</v>
      </c>
      <c r="B23" s="112" t="inlineStr">
        <is>
          <t>元康1号申购</t>
        </is>
      </c>
      <c r="C23" s="112" t="n">
        <v>3000</v>
      </c>
      <c r="D23" s="112" t="n"/>
      <c r="E23" s="572">
        <f>+E22+C23-D23</f>
        <v/>
      </c>
    </row>
    <row r="24">
      <c r="A24" s="156" t="n"/>
      <c r="B24" s="112" t="n"/>
      <c r="C24" s="112" t="n"/>
      <c r="D24" s="112" t="n"/>
      <c r="E24" s="572">
        <f>+E23+C24-D24</f>
        <v/>
      </c>
    </row>
    <row r="25">
      <c r="A25" s="156" t="n">
        <v>46140</v>
      </c>
      <c r="B25" s="483" t="inlineStr">
        <is>
          <t>24京东东裕3ABN002次</t>
        </is>
      </c>
      <c r="C25" s="112" t="n"/>
      <c r="D25" s="572" t="n">
        <v>741.1572</v>
      </c>
      <c r="E25" s="572">
        <f>+E24+C25-D25</f>
        <v/>
      </c>
      <c r="F25" s="562" t="inlineStr">
        <is>
          <t>4/28，24京东东裕3ABN002次[082480853.IB]，700w，105.8796，中信证券 to 粤财信托 王同博 3004238546</t>
        </is>
      </c>
    </row>
    <row r="26">
      <c r="A26" s="156" t="n">
        <v>46140</v>
      </c>
      <c r="B26" s="483" t="inlineStr">
        <is>
          <t>24东裕5仲裕ABN001次</t>
        </is>
      </c>
      <c r="C26" s="112" t="n"/>
      <c r="D26" s="572" t="n">
        <v>2093.332</v>
      </c>
      <c r="E26" s="572">
        <f>+E25+C26-D26</f>
        <v/>
      </c>
      <c r="F26" s="562" t="inlineStr">
        <is>
          <t>4/28，24东裕5仲裕ABN001次[082481516.IB]，2000w，104.6666，中信证券 to 粤财信托 王同博 3004238546</t>
        </is>
      </c>
    </row>
    <row r="27">
      <c r="A27" s="156" t="n">
        <v>46141</v>
      </c>
      <c r="B27" s="484" t="inlineStr">
        <is>
          <t>次级（26美团美好ABN001次，082680129）</t>
        </is>
      </c>
      <c r="C27" s="112" t="n"/>
      <c r="D27" s="112" t="n">
        <v>804</v>
      </c>
      <c r="E27" s="572">
        <f>+E26+C27-D27</f>
        <v/>
      </c>
      <c r="F27" s="562" t="inlineStr">
        <is>
          <t>4/29，26美团美好ABN001次，082680129.IB，800w，100.463，国泰海通 冉雅婷 to 粤财信托鹏雅10号119期 王同博 QT员工号：3004238546</t>
        </is>
      </c>
    </row>
    <row r="28">
      <c r="E28" s="563">
        <f>+E27+C28-D28</f>
        <v/>
      </c>
    </row>
    <row r="29">
      <c r="A29" s="4" t="n">
        <v>46164</v>
      </c>
      <c r="B29" s="0" t="inlineStr">
        <is>
          <t>元康17号申购</t>
        </is>
      </c>
      <c r="C29" s="0" t="n">
        <v>1100</v>
      </c>
      <c r="E29" s="563">
        <f>+E28+C29-D29</f>
        <v/>
      </c>
    </row>
    <row r="30">
      <c r="E30" s="563">
        <f>+E29+C30-D30</f>
        <v/>
      </c>
    </row>
    <row r="31">
      <c r="A31" s="4" t="n">
        <v>46170</v>
      </c>
      <c r="B31" s="0" t="inlineStr">
        <is>
          <t>25东裕7叔裕ABN001次</t>
        </is>
      </c>
      <c r="C31" s="0" t="n">
        <v>200</v>
      </c>
      <c r="E31" s="563">
        <f>+E30+C31-D31</f>
        <v/>
      </c>
    </row>
    <row r="32">
      <c r="E32" s="563">
        <f>+E31+C32-D32</f>
        <v/>
      </c>
    </row>
    <row r="33">
      <c r="B33" s="0" t="inlineStr">
        <is>
          <t>浩澜</t>
        </is>
      </c>
      <c r="D33" s="0" t="n">
        <v>1000</v>
      </c>
      <c r="E33" s="563">
        <f>+E32+C33-D33</f>
        <v/>
      </c>
    </row>
    <row r="34">
      <c r="E34" s="563">
        <f>+E33+C34-D34</f>
        <v/>
      </c>
    </row>
    <row r="35">
      <c r="E35" s="563">
        <f>+E34+C35-D35</f>
        <v/>
      </c>
    </row>
    <row r="36">
      <c r="E36" s="563">
        <f>+E35+C36-D36</f>
        <v/>
      </c>
    </row>
    <row r="37">
      <c r="E37" s="563">
        <f>+E36+C37-D37</f>
        <v/>
      </c>
    </row>
    <row r="38">
      <c r="E38" s="563">
        <f>+E37+C38-D38</f>
        <v/>
      </c>
    </row>
    <row r="39">
      <c r="E39" s="563">
        <f>+E38+C39-D39</f>
        <v/>
      </c>
    </row>
    <row r="40">
      <c r="E40" s="563">
        <f>+E39+C40-D40</f>
        <v/>
      </c>
    </row>
    <row r="41">
      <c r="E41" s="563">
        <f>+E40+C41-D41</f>
        <v/>
      </c>
    </row>
  </sheetData>
  <conditionalFormatting sqref="B25:B26">
    <cfRule type="duplicateValues" priority="2" dxfId="0"/>
  </conditionalFormatting>
  <conditionalFormatting sqref="E1:E1048576">
    <cfRule type="cellIs" priority="1" operator="lessThan" dxfId="0">
      <formula>0</formula>
    </cfRule>
  </conditionalFormatting>
  <pageMargins left="0.7" right="0.7" top="0.75" bottom="0.75" header="0.3" footer="0.3"/>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AH83"/>
  <sheetViews>
    <sheetView workbookViewId="0">
      <pane ySplit="2" topLeftCell="A55" activePane="bottomLeft" state="frozen"/>
      <selection pane="bottomLeft" activeCell="I84" sqref="I84"/>
    </sheetView>
  </sheetViews>
  <sheetFormatPr baseColWidth="8" defaultRowHeight="16.5"/>
  <cols>
    <col width="10" bestFit="1" customWidth="1" style="4" min="1" max="1"/>
    <col width="9.5" customWidth="1" style="326" min="2" max="2"/>
    <col width="9.375" customWidth="1" style="326" min="3" max="3"/>
    <col width="7.75" customWidth="1" style="326" min="4" max="4"/>
    <col width="8.75" bestFit="1" customWidth="1" style="563" min="5" max="5"/>
    <col width="12.625" bestFit="1" customWidth="1" style="326" min="6" max="6"/>
    <col width="13" customWidth="1" style="326" min="7" max="7"/>
    <col width="11.375" customWidth="1" style="326" min="8" max="8"/>
    <col width="10.75" customWidth="1" style="326" min="9" max="9"/>
    <col width="9.25" bestFit="1" customWidth="1" style="326" min="10" max="10"/>
    <col width="11.125" bestFit="1" customWidth="1" style="326" min="11" max="11"/>
    <col width="14.125" customWidth="1" style="326" min="12" max="12"/>
    <col width="8.75" customWidth="1" style="326" min="13" max="13"/>
    <col width="10" customWidth="1" style="326" min="19" max="19"/>
    <col width="10.25" customWidth="1" style="326" min="21" max="21"/>
    <col width="9.875" customWidth="1" style="326" min="23" max="23"/>
    <col width="10" customWidth="1" style="326" min="25" max="25"/>
    <col width="10.5" customWidth="1" style="326" min="27" max="27"/>
    <col width="10.5" customWidth="1" style="326" min="29" max="29"/>
    <col width="11.25" customWidth="1" style="326" min="31" max="31"/>
    <col width="11" customWidth="1" style="326" min="33" max="33"/>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46052</v>
      </c>
      <c r="B3" s="112" t="inlineStr">
        <is>
          <t>元康29申购</t>
        </is>
      </c>
      <c r="C3" s="112" t="n">
        <v>300</v>
      </c>
      <c r="D3" s="112" t="n"/>
      <c r="E3" s="572" t="n">
        <v>300</v>
      </c>
    </row>
    <row r="4">
      <c r="A4" s="156" t="n">
        <v>46052</v>
      </c>
      <c r="B4" s="112" t="inlineStr">
        <is>
          <t>磐宙自有申购</t>
        </is>
      </c>
      <c r="C4" s="112" t="n">
        <v>30</v>
      </c>
      <c r="D4" s="112" t="n"/>
      <c r="E4" s="572">
        <f>+E3+C4-D4</f>
        <v/>
      </c>
      <c r="K4" s="1" t="n"/>
      <c r="M4" s="564" t="n"/>
    </row>
    <row r="5">
      <c r="A5" s="267" t="n"/>
      <c r="B5" s="268" t="n"/>
      <c r="C5" s="610" t="n"/>
      <c r="D5" s="610" t="n"/>
      <c r="E5" s="572">
        <f>+E4+C5-D5</f>
        <v/>
      </c>
    </row>
    <row r="6">
      <c r="A6" s="270" t="n">
        <v>46056</v>
      </c>
      <c r="B6" s="241" t="inlineStr">
        <is>
          <t>25工元至诚普银3C</t>
        </is>
      </c>
      <c r="C6" s="660" t="n"/>
      <c r="D6" s="660">
        <f>182*1.134147</f>
        <v/>
      </c>
      <c r="E6" s="572">
        <f>+E5+C6-D6</f>
        <v/>
      </c>
      <c r="F6" s="0" t="inlineStr">
        <is>
          <t>25工元至诚普银3C，2589168.IB，2-3，t+0，182w，113.4147，银河证券 赵恩聪 3007251238 to 粤财信托鹏雅10号120期 王同博 QT员工号：3004238546</t>
        </is>
      </c>
    </row>
    <row r="7">
      <c r="A7" s="270" t="n"/>
      <c r="B7" s="241" t="n"/>
      <c r="C7" s="660" t="n"/>
      <c r="D7" s="661" t="n"/>
      <c r="E7" s="572">
        <f>+E6+C7-D7</f>
        <v/>
      </c>
    </row>
    <row r="8">
      <c r="A8" s="270" t="n"/>
      <c r="B8" s="273" t="n"/>
      <c r="C8" s="660" t="n"/>
      <c r="D8" s="661" t="n"/>
      <c r="E8" s="572">
        <f>+E7+C8-D8</f>
        <v/>
      </c>
    </row>
    <row r="9">
      <c r="A9" s="270" t="n">
        <v>46062</v>
      </c>
      <c r="B9" s="241" t="inlineStr">
        <is>
          <t>元康29追加</t>
        </is>
      </c>
      <c r="C9" s="660" t="n">
        <v>1850</v>
      </c>
      <c r="D9" s="661" t="n"/>
      <c r="E9" s="572">
        <f>+E8+C9-D9</f>
        <v/>
      </c>
      <c r="F9" s="0" t="inlineStr">
        <is>
          <t>待定。先不打款</t>
        </is>
      </c>
    </row>
    <row r="10">
      <c r="A10" s="270" t="n"/>
      <c r="B10" s="241" t="n"/>
      <c r="C10" s="660" t="n"/>
      <c r="D10" s="661" t="n"/>
      <c r="E10" s="572">
        <f>+E9+C10-D10</f>
        <v/>
      </c>
      <c r="J10" s="464" t="n"/>
      <c r="K10" s="464" t="n"/>
    </row>
    <row r="11">
      <c r="A11" s="270" t="n"/>
      <c r="B11" s="241" t="n"/>
      <c r="C11" s="660" t="n"/>
      <c r="D11" s="661" t="n"/>
      <c r="E11" s="572">
        <f>+E10+C11-D11</f>
        <v/>
      </c>
      <c r="J11" s="464" t="n"/>
      <c r="K11" s="464" t="n"/>
    </row>
    <row r="12">
      <c r="A12" s="270" t="n"/>
      <c r="B12" s="241" t="n"/>
      <c r="C12" s="660" t="n"/>
      <c r="D12" s="661" t="n"/>
      <c r="E12" s="572">
        <f>+E11+C12-D12</f>
        <v/>
      </c>
      <c r="J12" s="464" t="n"/>
      <c r="K12" s="464" t="n"/>
    </row>
    <row r="13">
      <c r="A13" s="270" t="n"/>
      <c r="B13" s="241" t="n"/>
      <c r="C13" s="660" t="n"/>
      <c r="D13" s="661" t="n"/>
      <c r="E13" s="572">
        <f>+E12+C13-D13</f>
        <v/>
      </c>
      <c r="F13" s="201" t="n"/>
      <c r="H13" s="0" t="inlineStr">
        <is>
          <t>证券名称</t>
        </is>
      </c>
      <c r="I13" s="0" t="inlineStr">
        <is>
          <t>交易份额</t>
        </is>
      </c>
      <c r="J13" s="464" t="inlineStr">
        <is>
          <t>交易日期</t>
        </is>
      </c>
      <c r="K13" s="464" t="inlineStr">
        <is>
          <t>交易价格</t>
        </is>
      </c>
      <c r="L13" s="0" t="inlineStr">
        <is>
          <t>交易金额</t>
        </is>
      </c>
      <c r="M13" s="0" t="inlineStr">
        <is>
          <t>补收益</t>
        </is>
      </c>
    </row>
    <row r="14">
      <c r="A14" s="270" t="n">
        <v>46063</v>
      </c>
      <c r="B14" s="241" t="inlineStr">
        <is>
          <t>23工元至诚1C</t>
        </is>
      </c>
      <c r="C14" s="655" t="n"/>
      <c r="D14" s="655">
        <f>L14/10000</f>
        <v/>
      </c>
      <c r="E14" s="572">
        <f>+E13+C14-D14</f>
        <v/>
      </c>
      <c r="F14" s="0" t="inlineStr">
        <is>
          <t>23工元至诚1C,2389064.IB,200w,58.9,2月10日，t+0，国泰海通 夏雪 to 粤财信托鹏雅10号120期 王同博 QT员工号：3004238546</t>
        </is>
      </c>
      <c r="H14" s="0" t="inlineStr">
        <is>
          <t>23工元至诚1C</t>
        </is>
      </c>
      <c r="I14" s="564" t="n">
        <v>200</v>
      </c>
      <c r="J14" s="117" t="n">
        <v>46063</v>
      </c>
      <c r="K14" s="573">
        <f>M25</f>
        <v/>
      </c>
      <c r="L14" s="564">
        <f>K14*I14*100</f>
        <v/>
      </c>
      <c r="M14" s="564" t="n"/>
      <c r="N14" s="0" t="inlineStr">
        <is>
          <t>2389064.IB</t>
        </is>
      </c>
      <c r="O14" s="0">
        <f>H14&amp;","&amp;N14&amp;","&amp;I14&amp;"w"&amp;","&amp;K14&amp;","&amp;J14</f>
        <v/>
      </c>
    </row>
    <row r="15">
      <c r="A15" s="270" t="n">
        <v>46063</v>
      </c>
      <c r="B15" s="241" t="inlineStr">
        <is>
          <t>25兴瑞1C</t>
        </is>
      </c>
      <c r="C15" s="655" t="n"/>
      <c r="D15" s="655">
        <f>L15/10000</f>
        <v/>
      </c>
      <c r="E15" s="572">
        <f>+E14+C15-D15</f>
        <v/>
      </c>
      <c r="F15" s="0" t="inlineStr">
        <is>
          <t>25兴瑞1C,2589025.IB,720w,77.24,,2月10日，t+0，国泰海通 夏雪 to 粤财信托鹏雅10号120期 王同博 QT员工号：3004238546</t>
        </is>
      </c>
      <c r="H15" s="0" t="inlineStr">
        <is>
          <t>25兴瑞1C</t>
        </is>
      </c>
      <c r="I15" s="564" t="n">
        <v>720</v>
      </c>
      <c r="J15" s="117" t="n">
        <v>46063</v>
      </c>
      <c r="K15" s="0">
        <f>P24</f>
        <v/>
      </c>
      <c r="L15" s="564">
        <f>K15*I15*100</f>
        <v/>
      </c>
      <c r="M15" s="564" t="n"/>
      <c r="N15" s="0" t="inlineStr">
        <is>
          <t>2589025.IB</t>
        </is>
      </c>
      <c r="O15" s="0">
        <f>H15&amp;","&amp;N15&amp;","&amp;I15&amp;"w"&amp;","&amp;K15&amp;","&amp;J15</f>
        <v/>
      </c>
    </row>
    <row r="16">
      <c r="A16" s="270" t="n">
        <v>46063</v>
      </c>
      <c r="B16" s="241" t="inlineStr">
        <is>
          <t>25浦鑫归航1C</t>
        </is>
      </c>
      <c r="C16" s="655" t="n"/>
      <c r="D16" s="655">
        <f>L16/10000</f>
        <v/>
      </c>
      <c r="E16" s="572">
        <f>+E15+C16-D16</f>
        <v/>
      </c>
      <c r="F16" s="0" t="inlineStr">
        <is>
          <t>25浦鑫归航1C,2589031.IB,1200w,103.6393,,2月10日，t+0，国泰海通 夏雪 to 粤财信托鹏雅10号120期 王同博 QT员工号：3004238546</t>
        </is>
      </c>
      <c r="H16" s="0" t="inlineStr">
        <is>
          <t>25浦鑫归航1C</t>
        </is>
      </c>
      <c r="I16" s="564" t="n">
        <v>1200</v>
      </c>
      <c r="J16" s="117" t="n">
        <v>46063</v>
      </c>
      <c r="K16" s="0">
        <f>J29</f>
        <v/>
      </c>
      <c r="L16" s="564">
        <f>K16*I16*100</f>
        <v/>
      </c>
      <c r="M16" s="564">
        <f>(I29-J29)*I16*100</f>
        <v/>
      </c>
      <c r="N16" s="0" t="inlineStr">
        <is>
          <t>2589031.IB</t>
        </is>
      </c>
      <c r="O16" s="0">
        <f>H16&amp;","&amp;N16&amp;","&amp;I16&amp;"w"&amp;","&amp;K16&amp;","&amp;J16</f>
        <v/>
      </c>
    </row>
    <row r="17">
      <c r="A17" s="270" t="n"/>
      <c r="B17" s="241" t="n"/>
      <c r="C17" s="655" t="n"/>
      <c r="D17" s="655" t="n"/>
      <c r="E17" s="572">
        <f>+E16+C17-D17</f>
        <v/>
      </c>
      <c r="I17" s="564" t="n"/>
      <c r="J17" s="117" t="n"/>
      <c r="L17" s="564" t="n"/>
      <c r="M17" s="564" t="n"/>
    </row>
    <row r="18">
      <c r="A18" s="156" t="n"/>
      <c r="B18" s="112" t="n"/>
      <c r="C18" s="112" t="n"/>
      <c r="D18" s="112" t="n"/>
      <c r="E18" s="572">
        <f>+E17+C18-D18</f>
        <v/>
      </c>
      <c r="G18" s="128" t="n"/>
      <c r="H18" s="657" t="inlineStr">
        <is>
          <t>25中誉至诚3C</t>
        </is>
      </c>
      <c r="I18" s="564" t="n">
        <v>238</v>
      </c>
      <c r="J18" s="117" t="n">
        <v>46059</v>
      </c>
      <c r="K18" s="0">
        <f>M29</f>
        <v/>
      </c>
      <c r="L18" s="564">
        <f>K18*I18*100</f>
        <v/>
      </c>
      <c r="N18" s="0" t="inlineStr">
        <is>
          <t>2589127.IB</t>
        </is>
      </c>
      <c r="O18" s="0">
        <f>H18&amp;","&amp;N18&amp;","&amp;I18&amp;"w"&amp;","&amp;K18&amp;","&amp;J18</f>
        <v/>
      </c>
    </row>
    <row r="19">
      <c r="A19" s="156" t="n">
        <v>46079</v>
      </c>
      <c r="B19" s="241" t="inlineStr">
        <is>
          <t>回款</t>
        </is>
      </c>
      <c r="C19" s="112" t="n">
        <v>624</v>
      </c>
      <c r="D19" s="112" t="n"/>
      <c r="E19" s="572">
        <f>+E18+C19-D19</f>
        <v/>
      </c>
      <c r="G19" s="128" t="n"/>
      <c r="H19" s="657" t="n"/>
      <c r="L19" s="587">
        <f>SUM(L10:L18)</f>
        <v/>
      </c>
      <c r="O19" s="0" t="inlineStr">
        <is>
          <t>25中誉至诚3C,2589127.IB,238w,104.445,46058</t>
        </is>
      </c>
    </row>
    <row r="20">
      <c r="A20" s="156" t="n"/>
      <c r="B20" s="241" t="n"/>
      <c r="C20" s="112" t="n"/>
      <c r="D20" s="112" t="n"/>
      <c r="E20" s="572">
        <f>+E19+C20-D20</f>
        <v/>
      </c>
      <c r="G20" s="128" t="n"/>
      <c r="H20" s="657" t="n"/>
    </row>
    <row r="21">
      <c r="A21" s="286" t="n">
        <v>46084</v>
      </c>
      <c r="B21" s="287" t="inlineStr">
        <is>
          <t>提取至元康29号</t>
        </is>
      </c>
      <c r="C21" s="274" t="n"/>
      <c r="D21" s="274" t="n">
        <v>660</v>
      </c>
      <c r="E21" s="572" t="n">
        <v>17</v>
      </c>
      <c r="G21" s="128" t="n"/>
      <c r="H21" s="662" t="inlineStr">
        <is>
          <t>25中誉至诚1C</t>
        </is>
      </c>
      <c r="I21" s="255">
        <f>XIRR(I22:I24,$H$22:$H$24)</f>
        <v/>
      </c>
      <c r="J21" s="464" t="n"/>
      <c r="L21" s="0" t="inlineStr">
        <is>
          <t>23工元至诚1C</t>
        </is>
      </c>
      <c r="M21" s="464">
        <f>XIRR(M22:M25,$L$22:$L$25)</f>
        <v/>
      </c>
      <c r="N21" s="464" t="n"/>
      <c r="O21" s="0" t="inlineStr">
        <is>
          <t>25兴瑞1C</t>
        </is>
      </c>
      <c r="P21" s="464">
        <f>XIRR(P22:P24,$O$22:$O$24)</f>
        <v/>
      </c>
      <c r="Q21" s="464" t="n"/>
    </row>
    <row r="22">
      <c r="A22" s="156" t="n">
        <v>46094</v>
      </c>
      <c r="B22" s="112" t="inlineStr">
        <is>
          <t>慧聚领航</t>
        </is>
      </c>
      <c r="C22" s="112" t="n">
        <v>300</v>
      </c>
      <c r="D22" s="112" t="n"/>
      <c r="E22" s="572">
        <f>+E21+C22-D22</f>
        <v/>
      </c>
      <c r="H22" s="256" t="n">
        <v>45744</v>
      </c>
      <c r="I22" s="257" t="n">
        <v>-103</v>
      </c>
      <c r="L22" s="1" t="n">
        <v>45008</v>
      </c>
      <c r="M22" s="0" t="n">
        <v>-105</v>
      </c>
      <c r="O22" s="1" t="n">
        <v>45741</v>
      </c>
      <c r="P22" s="0" t="n">
        <v>-105</v>
      </c>
    </row>
    <row r="23">
      <c r="A23" s="156" t="n"/>
      <c r="B23" s="112" t="n"/>
      <c r="C23" s="112" t="n"/>
      <c r="D23" s="112" t="n"/>
      <c r="E23" s="572">
        <f>+E22+C23-D23</f>
        <v/>
      </c>
      <c r="H23" s="256" t="n">
        <v>46048</v>
      </c>
      <c r="I23" s="257" t="n">
        <v>100.9018</v>
      </c>
      <c r="L23" s="1" t="n">
        <v>45866</v>
      </c>
      <c r="M23" s="0" t="n">
        <v>26.8418</v>
      </c>
      <c r="O23" s="1" t="n">
        <v>46048</v>
      </c>
      <c r="P23" s="0" t="n">
        <v>32.31</v>
      </c>
    </row>
    <row r="24">
      <c r="A24" s="156" t="n">
        <v>46099</v>
      </c>
      <c r="B24" s="112" t="inlineStr">
        <is>
          <t>磐宙提起</t>
        </is>
      </c>
      <c r="C24" s="112" t="n"/>
      <c r="D24" s="112">
        <f>30*1.045</f>
        <v/>
      </c>
      <c r="E24" s="572">
        <f>+E23+C24-D24</f>
        <v/>
      </c>
      <c r="H24" s="256" t="n">
        <v>46056</v>
      </c>
      <c r="I24" s="663" t="n">
        <v>6.38</v>
      </c>
      <c r="J24" s="564" t="n"/>
      <c r="L24" s="1" t="n">
        <v>46048</v>
      </c>
      <c r="M24" s="0" t="n">
        <v>34.3671</v>
      </c>
      <c r="O24" s="1">
        <f>J15</f>
        <v/>
      </c>
      <c r="P24" s="0" t="n">
        <v>77.23999999999999</v>
      </c>
    </row>
    <row r="25">
      <c r="A25" s="156" t="n">
        <v>46099</v>
      </c>
      <c r="B25" s="112" t="inlineStr">
        <is>
          <t>元康29号提取</t>
        </is>
      </c>
      <c r="C25" s="112" t="n"/>
      <c r="D25" s="112" t="n">
        <v>276.64</v>
      </c>
      <c r="E25" s="572">
        <f>+E24+C25-D25</f>
        <v/>
      </c>
      <c r="H25" s="1" t="n"/>
      <c r="L25" s="1">
        <f>J14</f>
        <v/>
      </c>
      <c r="M25" s="564" t="n">
        <v>58.9</v>
      </c>
      <c r="N25" s="564" t="n"/>
    </row>
    <row r="26">
      <c r="A26" s="156" t="n"/>
      <c r="B26" s="112" t="n"/>
      <c r="C26" s="112" t="n"/>
      <c r="D26" s="112" t="n"/>
      <c r="E26" s="572">
        <f>+E25+C26-D26</f>
        <v/>
      </c>
      <c r="L26" s="1" t="n"/>
    </row>
    <row r="27">
      <c r="A27" s="156" t="n">
        <v>46105</v>
      </c>
      <c r="B27" s="112" t="inlineStr">
        <is>
          <t>元康29追加</t>
        </is>
      </c>
      <c r="C27" s="112" t="n">
        <v>1030</v>
      </c>
      <c r="D27" s="112" t="n"/>
      <c r="E27" s="572">
        <f>+E26+C27-D27</f>
        <v/>
      </c>
      <c r="G27" s="564" t="n">
        <v>2800000</v>
      </c>
      <c r="H27" s="1" t="inlineStr">
        <is>
          <t>25浦鑫归航1C</t>
        </is>
      </c>
      <c r="I27" s="464">
        <f>XIRR(I28:I29,$H$28:$H$29)</f>
        <v/>
      </c>
      <c r="J27" s="464">
        <f>XIRR(J28:J29,$H$28:$H$29)</f>
        <v/>
      </c>
      <c r="L27" s="0" t="inlineStr">
        <is>
          <t>25中誉至诚3C</t>
        </is>
      </c>
      <c r="M27" s="464">
        <f>XIRR(M28:M29,$L$28:$L$29)</f>
        <v/>
      </c>
    </row>
    <row r="28">
      <c r="A28" s="156" t="n"/>
      <c r="B28" s="112" t="n"/>
      <c r="C28" s="112" t="n"/>
      <c r="D28" s="112" t="n"/>
      <c r="E28" s="572">
        <f>+E27+C28-D28</f>
        <v/>
      </c>
      <c r="G28" s="0" t="n">
        <v>1.0432</v>
      </c>
      <c r="H28" s="1" t="n">
        <v>45742</v>
      </c>
      <c r="I28" s="0" t="n">
        <v>-100</v>
      </c>
      <c r="J28" s="0">
        <f>I28</f>
        <v/>
      </c>
      <c r="L28" s="1" t="n">
        <v>45807</v>
      </c>
      <c r="M28" s="0" t="n">
        <v>-101</v>
      </c>
    </row>
    <row r="29">
      <c r="A29" s="156" t="n">
        <v>46105</v>
      </c>
      <c r="B29" s="112" t="inlineStr">
        <is>
          <t>25邮盈惠泽5C</t>
        </is>
      </c>
      <c r="C29" s="112" t="n"/>
      <c r="D29" s="112">
        <f>490*1.069</f>
        <v/>
      </c>
      <c r="E29" s="572">
        <f>+E28+C29-D29</f>
        <v/>
      </c>
      <c r="F29" s="0" t="inlineStr">
        <is>
          <t>3/24，2589249.IB  25邮盈惠泽5C 490W 净价/全价  106.9 国泰海通 to 粤财信托鹏雅10号120期 王同博 QT员工号：3004238546</t>
        </is>
      </c>
      <c r="G29" s="573">
        <f>G27/G28</f>
        <v/>
      </c>
      <c r="H29" s="117">
        <f>J16</f>
        <v/>
      </c>
      <c r="I29" s="0" t="n">
        <v>104.38</v>
      </c>
      <c r="J29" s="0" t="n">
        <v>103.6393</v>
      </c>
      <c r="L29" s="117" t="n">
        <v>46059</v>
      </c>
      <c r="M29" s="0" t="n">
        <v>104.458</v>
      </c>
    </row>
    <row r="30">
      <c r="A30" s="156" t="n"/>
      <c r="B30" s="112" t="n"/>
      <c r="C30" s="112" t="n"/>
      <c r="D30" s="112" t="n"/>
      <c r="E30" s="572">
        <f>+E29+C30-D30</f>
        <v/>
      </c>
      <c r="G30" s="564" t="n">
        <v>2660000</v>
      </c>
    </row>
    <row r="31">
      <c r="A31" s="156" t="n">
        <v>46106</v>
      </c>
      <c r="B31" s="112" t="inlineStr">
        <is>
          <t>26福鑫1C</t>
        </is>
      </c>
      <c r="C31" s="112" t="n"/>
      <c r="D31" s="112" t="n">
        <v>200</v>
      </c>
      <c r="E31" s="572">
        <f>+E30+C31-D31</f>
        <v/>
      </c>
      <c r="G31" s="564">
        <f>G30*G28</f>
        <v/>
      </c>
      <c r="R31" s="664">
        <f>R37-T37</f>
        <v/>
      </c>
    </row>
    <row r="32">
      <c r="A32" s="156" t="n">
        <v>46106</v>
      </c>
      <c r="B32" s="112" t="inlineStr">
        <is>
          <t>26福鑫2C</t>
        </is>
      </c>
      <c r="C32" s="112" t="n"/>
      <c r="D32" s="112" t="n">
        <v>300</v>
      </c>
      <c r="E32" s="572">
        <f>+E31+C32-D32</f>
        <v/>
      </c>
      <c r="H32" s="169" t="inlineStr">
        <is>
          <t>4月初交易计划</t>
        </is>
      </c>
      <c r="I32" s="0" t="inlineStr">
        <is>
          <t>证券代码</t>
        </is>
      </c>
      <c r="J32" s="0" t="inlineStr">
        <is>
          <t>持仓规模</t>
        </is>
      </c>
      <c r="K32" s="0" t="inlineStr">
        <is>
          <t>DC成本</t>
        </is>
      </c>
      <c r="L32" s="0" t="inlineStr">
        <is>
          <t>买入日期</t>
        </is>
      </c>
      <c r="M32" s="0" t="inlineStr">
        <is>
          <t>买入价格</t>
        </is>
      </c>
      <c r="N32" s="0" t="inlineStr">
        <is>
          <t>剩余本金（万元）</t>
        </is>
      </c>
      <c r="O32" s="0" t="inlineStr">
        <is>
          <t>当前面值</t>
        </is>
      </c>
      <c r="P32" s="0" t="inlineStr">
        <is>
          <t>交易日期</t>
        </is>
      </c>
      <c r="Q32" s="0" t="inlineStr">
        <is>
          <t>交易价格</t>
        </is>
      </c>
      <c r="R32" s="0" t="inlineStr">
        <is>
          <t>交易金额（万元）</t>
        </is>
      </c>
      <c r="U32" s="169" t="inlineStr">
        <is>
          <t>23中誉2C</t>
        </is>
      </c>
      <c r="V32" s="464">
        <f>XIRR(V33:V37,U33:U37)</f>
        <v/>
      </c>
      <c r="W32" s="169" t="inlineStr">
        <is>
          <t>24浦鑫归航8C</t>
        </is>
      </c>
      <c r="X32" s="464">
        <f>XIRR(X33:X35,W33:W35)</f>
        <v/>
      </c>
      <c r="Y32" s="379" t="inlineStr">
        <is>
          <t>25建欣1C</t>
        </is>
      </c>
      <c r="Z32" s="464">
        <f>XIRR(Z33:Z35,Y33:Y35)</f>
        <v/>
      </c>
      <c r="AA32" s="379" t="inlineStr">
        <is>
          <t>25橙益4C</t>
        </is>
      </c>
      <c r="AB32" s="464">
        <f>XIRR(AB33:AB35,AA33:AA35)</f>
        <v/>
      </c>
      <c r="AC32" s="169" t="inlineStr">
        <is>
          <t>25橙益8C</t>
        </is>
      </c>
      <c r="AD32" s="464">
        <f>XIRR(AD33:AD35,AC33:AC35)</f>
        <v/>
      </c>
      <c r="AE32" s="169" t="inlineStr">
        <is>
          <t>25建欣1C</t>
        </is>
      </c>
      <c r="AF32" s="464">
        <f>XIRR(AF33:AF35,AE33:AE35)</f>
        <v/>
      </c>
      <c r="AH32" s="464">
        <f>XIRR(AH33:AH35,AG33:AG35)</f>
        <v/>
      </c>
    </row>
    <row r="33">
      <c r="E33" s="572">
        <f>+E32+C33-D33</f>
        <v/>
      </c>
      <c r="G33" s="0" t="inlineStr">
        <is>
          <t>gtht</t>
        </is>
      </c>
      <c r="H33" s="398" t="inlineStr">
        <is>
          <t>25建欣1C</t>
        </is>
      </c>
      <c r="I33" s="562" t="inlineStr">
        <is>
          <t>2589057.IB</t>
        </is>
      </c>
      <c r="J33" s="617" t="n">
        <v>55800</v>
      </c>
      <c r="K33" s="401" t="n">
        <v>0.05</v>
      </c>
      <c r="L33" s="398" t="n">
        <v>45743</v>
      </c>
      <c r="M33" s="562" t="n">
        <v>105</v>
      </c>
      <c r="N33" s="665" t="n">
        <v>579.0366</v>
      </c>
      <c r="O33" s="562" t="n">
        <v>98.77</v>
      </c>
      <c r="P33" s="403" t="n">
        <v>46113</v>
      </c>
      <c r="Q33" s="562" t="n">
        <v>109.078</v>
      </c>
      <c r="R33" s="666">
        <f>+Q33*J33/10000</f>
        <v/>
      </c>
      <c r="S33" s="562" t="inlineStr">
        <is>
          <t>25建欣1C[2589057.IB]，558w，109.078，4月1日，国泰海通 冉雅婷 2881971956 to 粤财鹏雅10号第120期 王同博 QT员工号：3004238546</t>
        </is>
      </c>
      <c r="T33" s="562" t="inlineStr">
        <is>
          <t> </t>
        </is>
      </c>
      <c r="U33" s="1" t="n">
        <v>45027</v>
      </c>
      <c r="V33" s="0">
        <f>-M37</f>
        <v/>
      </c>
      <c r="W33" s="1">
        <f>+L41</f>
        <v/>
      </c>
      <c r="X33" s="0">
        <f>-M41</f>
        <v/>
      </c>
      <c r="Y33" s="1">
        <f>L33</f>
        <v/>
      </c>
      <c r="Z33" s="0">
        <f>-M33</f>
        <v/>
      </c>
      <c r="AA33" s="1">
        <f>L34</f>
        <v/>
      </c>
      <c r="AB33" s="0">
        <f>-M34</f>
        <v/>
      </c>
      <c r="AC33" s="1">
        <f>L35</f>
        <v/>
      </c>
      <c r="AD33" s="0">
        <f>-M35</f>
        <v/>
      </c>
      <c r="AE33" s="1">
        <f>L36</f>
        <v/>
      </c>
      <c r="AF33" s="0">
        <f>-M36</f>
        <v/>
      </c>
      <c r="AG33" s="1" t="n">
        <v>45986</v>
      </c>
      <c r="AH33" s="0" t="n">
        <v>-112</v>
      </c>
    </row>
    <row r="34">
      <c r="A34" s="156" t="n">
        <v>46107</v>
      </c>
      <c r="B34" s="112" t="inlineStr">
        <is>
          <t>回款</t>
        </is>
      </c>
      <c r="C34" s="112" t="n">
        <v>258</v>
      </c>
      <c r="D34" s="112" t="n"/>
      <c r="E34" s="572">
        <f>+E33+C34-D34</f>
        <v/>
      </c>
      <c r="G34" s="0" t="inlineStr">
        <is>
          <t>gtht</t>
        </is>
      </c>
      <c r="H34" s="398" t="inlineStr">
        <is>
          <t>25橙益4C</t>
        </is>
      </c>
      <c r="I34" s="562" t="inlineStr">
        <is>
          <t>2589087.IB</t>
        </is>
      </c>
      <c r="J34" s="617" t="n">
        <v>42000</v>
      </c>
      <c r="K34" s="401" t="n">
        <v>0.05</v>
      </c>
      <c r="L34" s="398" t="n">
        <v>45772</v>
      </c>
      <c r="M34" s="562" t="n">
        <v>105</v>
      </c>
      <c r="N34" s="665" t="n">
        <v>436.944</v>
      </c>
      <c r="O34" s="562" t="n">
        <v>100</v>
      </c>
      <c r="P34" s="403" t="n">
        <v>46113</v>
      </c>
      <c r="Q34" s="562" t="n">
        <v>109.898</v>
      </c>
      <c r="R34" s="666">
        <f>+Q34*J34/10000</f>
        <v/>
      </c>
      <c r="S34" s="562" t="inlineStr">
        <is>
          <t>25橙益4C[2589087.IB]，420w，109.898，4月1日，国泰海通 冉雅婷 2881971956 to 粤财鹏雅10号第120期 王同博 QT员工号：3004238546</t>
        </is>
      </c>
      <c r="T34" s="562" t="inlineStr">
        <is>
          <t> </t>
        </is>
      </c>
      <c r="U34" s="1" t="n">
        <v>45714</v>
      </c>
      <c r="V34" s="0" t="n">
        <v>5.44</v>
      </c>
      <c r="W34" s="117" t="n">
        <v>46107</v>
      </c>
      <c r="X34" s="0" t="n">
        <v>33.58</v>
      </c>
      <c r="Y34" s="117" t="n">
        <v>46048</v>
      </c>
      <c r="Z34" s="0" t="n">
        <v>1.23</v>
      </c>
      <c r="AA34" s="117">
        <f>+P34</f>
        <v/>
      </c>
      <c r="AB34" s="0" t="n">
        <v>109.898</v>
      </c>
      <c r="AC34" s="117">
        <f>+P35</f>
        <v/>
      </c>
      <c r="AD34" s="0" t="n">
        <v>112.535</v>
      </c>
      <c r="AE34" s="117" t="n">
        <v>46048</v>
      </c>
      <c r="AF34" s="0" t="n">
        <v>1.23</v>
      </c>
      <c r="AG34" s="117">
        <f>AE34</f>
        <v/>
      </c>
      <c r="AH34" s="0" t="n">
        <v>1.23</v>
      </c>
    </row>
    <row r="35">
      <c r="A35" s="156" t="n">
        <v>46107</v>
      </c>
      <c r="B35" s="112" t="inlineStr">
        <is>
          <t>26惠元3C（2689044）</t>
        </is>
      </c>
      <c r="C35" s="112" t="n"/>
      <c r="D35" s="112" t="n">
        <v>169.6</v>
      </c>
      <c r="E35" s="572">
        <f>+E34+C35-D35</f>
        <v/>
      </c>
      <c r="G35" s="0" t="inlineStr">
        <is>
          <t>gtht</t>
        </is>
      </c>
      <c r="H35" s="398" t="inlineStr">
        <is>
          <t>25橙益8C</t>
        </is>
      </c>
      <c r="I35" s="562" t="inlineStr">
        <is>
          <t>2589115.IB</t>
        </is>
      </c>
      <c r="J35" s="617" t="n">
        <v>28500</v>
      </c>
      <c r="K35" s="401" t="n">
        <v>0.05</v>
      </c>
      <c r="L35" s="398" t="n">
        <v>45805</v>
      </c>
      <c r="M35" s="562" t="n">
        <v>108</v>
      </c>
      <c r="N35" s="665" t="n">
        <v>307.8</v>
      </c>
      <c r="O35" s="562" t="n">
        <v>100</v>
      </c>
      <c r="P35" s="403" t="n">
        <v>46113</v>
      </c>
      <c r="Q35" s="562" t="n">
        <v>112.535</v>
      </c>
      <c r="R35" s="666">
        <f>+Q35*J35/10000</f>
        <v/>
      </c>
      <c r="S35" s="562" t="inlineStr">
        <is>
          <t>25橙益8C[2589115.IB]，285w，112.535，4月1日，国泰海通 冉雅婷 2881971956 to 粤财鹏雅10号第120期 王同博 QT员工号：3004238546</t>
        </is>
      </c>
      <c r="T35" s="562" t="inlineStr">
        <is>
          <t> </t>
        </is>
      </c>
      <c r="U35" s="1" t="n">
        <v>45895</v>
      </c>
      <c r="V35" s="0" t="n">
        <v>24.19</v>
      </c>
      <c r="W35" s="117">
        <f>+P41</f>
        <v/>
      </c>
      <c r="X35" s="0" t="n">
        <v>72.807</v>
      </c>
      <c r="Y35" s="117">
        <f>P33</f>
        <v/>
      </c>
      <c r="Z35" s="0" t="n">
        <v>109.078</v>
      </c>
      <c r="AE35" s="117">
        <f>+P36</f>
        <v/>
      </c>
      <c r="AF35" s="0" t="n">
        <v>109.08</v>
      </c>
      <c r="AG35" s="117">
        <f>AE35</f>
        <v/>
      </c>
      <c r="AH35" s="0">
        <f>-AH33*5%/365*(AG34-AG33)+(-AH33-AH34)*5%/365*(AG35-AG34)+-AH33-AH34</f>
        <v/>
      </c>
    </row>
    <row r="36">
      <c r="A36" s="156" t="n">
        <v>46112</v>
      </c>
      <c r="B36" s="112" t="inlineStr">
        <is>
          <t>元康29号申购</t>
        </is>
      </c>
      <c r="C36" s="112" t="n">
        <v>2150</v>
      </c>
      <c r="D36" s="112" t="n"/>
      <c r="E36" s="572">
        <f>+E35+C36-D36</f>
        <v/>
      </c>
      <c r="G36" s="0" t="inlineStr">
        <is>
          <t>yh</t>
        </is>
      </c>
      <c r="H36" s="562" t="inlineStr">
        <is>
          <t>25建欣1C</t>
        </is>
      </c>
      <c r="I36" s="562" t="inlineStr">
        <is>
          <t>2589057.IB</t>
        </is>
      </c>
      <c r="J36" s="617" t="n">
        <v>71600</v>
      </c>
      <c r="K36" s="401" t="n">
        <v>0.05</v>
      </c>
      <c r="L36" s="398" t="n">
        <v>45743</v>
      </c>
      <c r="M36" s="562" t="n">
        <v>105</v>
      </c>
      <c r="N36" s="665" t="n">
        <v>793.1132</v>
      </c>
      <c r="O36" s="562" t="n">
        <v>98.77</v>
      </c>
      <c r="P36" s="403" t="n">
        <v>46113</v>
      </c>
      <c r="Q36" s="562" t="n">
        <v>112.7075410958904</v>
      </c>
      <c r="R36" s="666">
        <f>+Q36*J36/10000</f>
        <v/>
      </c>
      <c r="S36" s="562" t="inlineStr">
        <is>
          <t>25建欣1C[2589057.IB]，716w，112.70754109589，4月1日，银河证券 to 粤财鹏雅10号第120期 王同博 QT员工号：3004238546期</t>
        </is>
      </c>
      <c r="T36" s="562" t="inlineStr">
        <is>
          <t> </t>
        </is>
      </c>
      <c r="U36" s="1" t="n">
        <v>46079</v>
      </c>
      <c r="V36" s="0" t="n">
        <v>22.18</v>
      </c>
    </row>
    <row r="37">
      <c r="A37" s="156" t="n">
        <v>46113</v>
      </c>
      <c r="B37" s="112" t="inlineStr">
        <is>
          <t>DC买回</t>
        </is>
      </c>
      <c r="C37" s="112" t="n"/>
      <c r="D37" s="654" t="n">
        <v>2198</v>
      </c>
      <c r="E37" s="572">
        <f>+E36+C37-D37</f>
        <v/>
      </c>
      <c r="F37" s="0" t="inlineStr">
        <is>
          <t>25建欣1C[2589057.IB]，558w，109.078，4月1日，国泰海通 冉雅婷 2881971956 to 粤财鹏雅10号第120期 王同博 QT员工号：3004238546；25橙益4C[2589087.IB]，420w，109.898，4月1日，国泰海通 冉雅婷 2881971956 to 粤财鹏雅10号第120期 王同博 QT员工号：3004238546；25橙益8C[2589115.IB]，285w，112.535，4月1日，国泰海通 冉雅婷 2881971956 to 粤财鹏雅10号第120期 王同博 QT员工号：3004238546；25建欣1C[2589057.IB]，716w，112.7075，4月1日，银河证券 to 粤财鹏雅10号第120期 王同博 QT员工号：3004238546</t>
        </is>
      </c>
      <c r="G37" s="0" t="inlineStr">
        <is>
          <t>gtht</t>
        </is>
      </c>
      <c r="H37" s="562" t="inlineStr">
        <is>
          <t>23中誉2C</t>
        </is>
      </c>
      <c r="I37" s="562" t="inlineStr">
        <is>
          <t>2389095.IB</t>
        </is>
      </c>
      <c r="J37" s="617" t="n">
        <v>107100</v>
      </c>
      <c r="K37" s="401" t="n">
        <v>0.05</v>
      </c>
      <c r="L37" s="398" t="n">
        <v>45027</v>
      </c>
      <c r="M37" s="562" t="n">
        <v>107</v>
      </c>
      <c r="N37" s="665" t="n">
        <v>516.1149</v>
      </c>
      <c r="O37" s="562" t="n">
        <v>48.19</v>
      </c>
      <c r="P37" s="403" t="n">
        <v>46121</v>
      </c>
      <c r="Q37" s="667" t="n">
        <v>70.00234173669469</v>
      </c>
      <c r="R37" s="666">
        <f>+Q37*J37/10000</f>
        <v/>
      </c>
      <c r="S37" s="562" t="inlineStr">
        <is>
          <t>23中誉2C[2389095.IB]，1071w，70.0023417366947，4月9日，国泰海通 冉雅婷 2881971956 to 粤财鹏雅10号第120期 王同博 QT员工号：3004238546</t>
        </is>
      </c>
      <c r="T37" s="668">
        <f>V37*J37/10000</f>
        <v/>
      </c>
      <c r="U37" s="1">
        <f>P37</f>
        <v/>
      </c>
      <c r="V37" s="616" t="n">
        <v>70.852</v>
      </c>
    </row>
    <row r="38">
      <c r="A38" s="156" t="n">
        <v>46119</v>
      </c>
      <c r="B38" s="112" t="inlineStr">
        <is>
          <t>元康29追加</t>
        </is>
      </c>
      <c r="C38" s="112" t="n">
        <v>750</v>
      </c>
      <c r="D38" s="112" t="n"/>
      <c r="E38" s="572">
        <f>+E37+C38-D38</f>
        <v/>
      </c>
      <c r="G38" s="0" t="inlineStr">
        <is>
          <t>gtht</t>
        </is>
      </c>
      <c r="H38" s="562" t="inlineStr">
        <is>
          <t>25工元至诚普银3C</t>
        </is>
      </c>
      <c r="I38" s="562" t="inlineStr">
        <is>
          <t>2589168.IB</t>
        </is>
      </c>
      <c r="J38" s="617" t="n">
        <v>35100</v>
      </c>
      <c r="K38" s="401" t="n">
        <v>0.05</v>
      </c>
      <c r="L38" s="398" t="n">
        <v>45832</v>
      </c>
      <c r="M38" s="414" t="n">
        <v>110</v>
      </c>
      <c r="N38" s="665" t="n">
        <v>381.8958000000002</v>
      </c>
      <c r="O38" s="562" t="n">
        <v>100</v>
      </c>
      <c r="P38" s="403" t="n">
        <v>46121</v>
      </c>
      <c r="Q38" s="562" t="n">
        <v>114.33</v>
      </c>
      <c r="R38" s="666">
        <f>+Q38*J38/10000</f>
        <v/>
      </c>
      <c r="S38" s="562" t="inlineStr">
        <is>
          <t>25工元至诚普银3C[2589168.IB]，351w，114.33，4月9日，国泰海通 冉雅婷 2881971956 to 粤财鹏雅10号第120期 王同博 QT员工号：3004238546</t>
        </is>
      </c>
      <c r="T38" s="562" t="inlineStr">
        <is>
          <t> </t>
        </is>
      </c>
    </row>
    <row r="39">
      <c r="A39" s="156" t="n">
        <v>46119</v>
      </c>
      <c r="B39" s="112" t="inlineStr">
        <is>
          <t>缴款</t>
        </is>
      </c>
      <c r="C39" s="112" t="n"/>
      <c r="D39" s="654" t="n">
        <v>140.4</v>
      </c>
      <c r="E39" s="572">
        <f>+E38+C39-D39</f>
        <v/>
      </c>
      <c r="G39" s="0" t="inlineStr">
        <is>
          <t>信达</t>
        </is>
      </c>
      <c r="H39" s="562" t="inlineStr">
        <is>
          <t>25建欣16C</t>
        </is>
      </c>
      <c r="I39" s="562" t="inlineStr">
        <is>
          <t>2589486.IB</t>
        </is>
      </c>
      <c r="J39" s="617" t="n">
        <v>76800</v>
      </c>
      <c r="K39" s="401" t="n">
        <v>0.05</v>
      </c>
      <c r="L39" s="398" t="n">
        <v>46008</v>
      </c>
      <c r="M39" s="414" t="n">
        <v>104</v>
      </c>
      <c r="N39" s="665" t="n">
        <v>797.68576</v>
      </c>
      <c r="O39" s="562" t="n">
        <v>100</v>
      </c>
      <c r="P39" s="403" t="n">
        <v>46121</v>
      </c>
      <c r="Q39" s="562" t="n">
        <v>105.582</v>
      </c>
      <c r="R39" s="666">
        <f>+Q39*J39/10000</f>
        <v/>
      </c>
      <c r="S39" s="562" t="inlineStr">
        <is>
          <t>25建欣16C[2589486.IB]，768w，105.58，4月9日，信达证券 to 粤财鹏雅10号第120期 王同博 QT员工号：3004238546</t>
        </is>
      </c>
      <c r="T39" s="562" t="inlineStr">
        <is>
          <t> </t>
        </is>
      </c>
      <c r="U39" s="169" t="inlineStr">
        <is>
          <t>25建欣16C</t>
        </is>
      </c>
      <c r="V39" s="464">
        <f>XIRR(V40:V41,U40:U41)</f>
        <v/>
      </c>
      <c r="W39" s="169" t="inlineStr">
        <is>
          <t>25工元至诚普银3C</t>
        </is>
      </c>
      <c r="X39" s="464">
        <f>XIRR(X40:X41,W40:W41)</f>
        <v/>
      </c>
      <c r="Y39" s="169" t="inlineStr">
        <is>
          <t>25建欣7C</t>
        </is>
      </c>
      <c r="Z39" s="464">
        <f>XIRR(Z40:Z41,Y40:Y41)</f>
        <v/>
      </c>
      <c r="AA39" s="169" t="inlineStr">
        <is>
          <t>25橙益21C</t>
        </is>
      </c>
      <c r="AB39" s="464">
        <f>XIRR(AB40:AB41,AA40:AA41)</f>
        <v/>
      </c>
      <c r="AC39" s="169" t="inlineStr">
        <is>
          <t>25建欣11C</t>
        </is>
      </c>
      <c r="AD39" s="464">
        <f>XIRR(AD40:AD41,AC40:AC41)</f>
        <v/>
      </c>
    </row>
    <row r="40">
      <c r="A40" s="156" t="n">
        <v>46120</v>
      </c>
      <c r="B40" s="112" t="inlineStr">
        <is>
          <t>慧聚领航</t>
        </is>
      </c>
      <c r="C40" s="112">
        <f>慧聚领航1号!D16</f>
        <v/>
      </c>
      <c r="D40" s="654" t="n"/>
      <c r="E40" s="572">
        <f>+E39+C40-D40</f>
        <v/>
      </c>
      <c r="G40" s="0" t="inlineStr">
        <is>
          <t>信达</t>
        </is>
      </c>
      <c r="H40" s="562" t="inlineStr">
        <is>
          <t>25建欣11C</t>
        </is>
      </c>
      <c r="I40" s="562" t="inlineStr">
        <is>
          <t>2589247.IB</t>
        </is>
      </c>
      <c r="J40" s="617" t="n">
        <v>3000</v>
      </c>
      <c r="K40" s="401" t="n">
        <v>0.05</v>
      </c>
      <c r="L40" s="398" t="n">
        <v>45867</v>
      </c>
      <c r="M40" s="414" t="n">
        <v>102</v>
      </c>
      <c r="N40" s="665" t="n">
        <v>12.7</v>
      </c>
      <c r="O40" s="562" t="n">
        <v>100</v>
      </c>
      <c r="P40" s="403" t="n">
        <v>46121</v>
      </c>
      <c r="Q40" s="562">
        <f>AD41</f>
        <v/>
      </c>
      <c r="R40" s="666">
        <f>+Q40*J40/10000</f>
        <v/>
      </c>
      <c r="S40" s="562" t="inlineStr">
        <is>
          <t>25建欣11C[2589247.IB]，30w，105.52，4月9日，信达证券 to 粤财鹏雅10号第120期 王同博 QT员工号：3004238546</t>
        </is>
      </c>
      <c r="T40" s="562" t="inlineStr">
        <is>
          <t> </t>
        </is>
      </c>
      <c r="U40" s="1">
        <f>L39</f>
        <v/>
      </c>
      <c r="V40" s="0">
        <f>-M39</f>
        <v/>
      </c>
      <c r="W40" s="1">
        <f>+L38</f>
        <v/>
      </c>
      <c r="X40" s="0">
        <f>-M38</f>
        <v/>
      </c>
      <c r="Y40" s="1">
        <f>+L42</f>
        <v/>
      </c>
      <c r="Z40" s="0">
        <f>-M42</f>
        <v/>
      </c>
      <c r="AA40" s="1">
        <f>L43</f>
        <v/>
      </c>
      <c r="AB40" s="0">
        <f>-M43</f>
        <v/>
      </c>
      <c r="AC40" s="1">
        <f>L40</f>
        <v/>
      </c>
      <c r="AD40" s="0">
        <f>-M40</f>
        <v/>
      </c>
    </row>
    <row r="41">
      <c r="A41" s="156" t="n"/>
      <c r="B41" s="112" t="n"/>
      <c r="C41" s="112" t="n"/>
      <c r="D41" s="654" t="n"/>
      <c r="E41" s="572">
        <f>+E40+C41-D41</f>
        <v/>
      </c>
      <c r="G41" s="0" t="inlineStr">
        <is>
          <t>gtht</t>
        </is>
      </c>
      <c r="H41" s="0" t="inlineStr">
        <is>
          <t>24浦鑫归航8C</t>
        </is>
      </c>
      <c r="I41" s="0" t="inlineStr">
        <is>
          <t>2489436.IB</t>
        </is>
      </c>
      <c r="J41" s="563" t="n">
        <v>50000</v>
      </c>
      <c r="K41" s="464" t="n">
        <v>0.05</v>
      </c>
      <c r="L41" s="1" t="n">
        <v>45653</v>
      </c>
      <c r="M41" s="0" t="n">
        <v>100</v>
      </c>
      <c r="N41" s="564" t="n">
        <v>478.55</v>
      </c>
      <c r="O41" s="0" t="n">
        <v>66.42</v>
      </c>
      <c r="P41" s="117" t="n">
        <v>46121</v>
      </c>
      <c r="Q41" s="0" t="n">
        <v>72.807</v>
      </c>
      <c r="R41" s="577">
        <f>+Q41*J41/10000</f>
        <v/>
      </c>
      <c r="S41" s="0" t="inlineStr">
        <is>
          <t>24浦鑫归航8C[2489436.IB]，500w，72.807，4月9日，国泰海通 冉雅婷 2881971956 to 粤财鹏雅10号第120期 王同博 QT员工号：3004238546</t>
        </is>
      </c>
      <c r="T41" s="0" t="inlineStr">
        <is>
          <t>暂不交易</t>
        </is>
      </c>
      <c r="U41" s="117">
        <f>+P39</f>
        <v/>
      </c>
      <c r="V41" s="406" t="n">
        <v>105.582</v>
      </c>
      <c r="W41" s="117">
        <f>+P38</f>
        <v/>
      </c>
      <c r="X41" s="0" t="n">
        <v>114.33</v>
      </c>
      <c r="Y41" s="117">
        <f>P42</f>
        <v/>
      </c>
      <c r="Z41" s="0" t="n">
        <v>107.03</v>
      </c>
      <c r="AA41" s="117">
        <f>+P43</f>
        <v/>
      </c>
      <c r="AB41" s="0" t="n">
        <v>102.39</v>
      </c>
      <c r="AC41" s="117">
        <f>+P40</f>
        <v/>
      </c>
      <c r="AD41" s="0" t="n">
        <v>105.52</v>
      </c>
    </row>
    <row r="42">
      <c r="A42" s="156" t="n">
        <v>46121</v>
      </c>
      <c r="B42" s="112" t="inlineStr">
        <is>
          <t>23中誉2C</t>
        </is>
      </c>
      <c r="C42" s="112" t="n"/>
      <c r="D42" s="654" t="n">
        <v>750</v>
      </c>
      <c r="E42" s="572">
        <f>+E41+C42-D42</f>
        <v/>
      </c>
      <c r="F42" s="562" t="inlineStr">
        <is>
          <t>23中誉2C[2389095.IB]，1071w，70.002，4月9日，国泰海通 冉雅婷 2881971956 to 粤财鹏雅10号第120期 王同博 QT员工号：3004238546；</t>
        </is>
      </c>
      <c r="G42" s="0" t="inlineStr">
        <is>
          <t>gtht</t>
        </is>
      </c>
      <c r="H42" s="0" t="inlineStr">
        <is>
          <t>25建欣7C</t>
        </is>
      </c>
      <c r="I42" s="0" t="inlineStr">
        <is>
          <t>2589216.IB</t>
        </is>
      </c>
      <c r="J42" s="563" t="n">
        <v>41300</v>
      </c>
      <c r="K42" s="464" t="n">
        <v>0.05</v>
      </c>
      <c r="L42" s="1" t="n">
        <v>45834</v>
      </c>
      <c r="M42" s="348" t="n">
        <v>103</v>
      </c>
      <c r="N42" s="564" t="n">
        <v>425.39</v>
      </c>
      <c r="O42" s="0" t="n">
        <v>100</v>
      </c>
      <c r="P42" s="117" t="n">
        <v>46121</v>
      </c>
      <c r="Q42" s="0" t="n">
        <v>107.03</v>
      </c>
      <c r="R42" s="577">
        <f>+Q42*J42/10000</f>
        <v/>
      </c>
      <c r="S42" s="0" t="inlineStr">
        <is>
          <t>25建欣7C[2589216.IB]，413w，107.03，4月9日，国泰海通 冉雅婷 2881971956 to 粤财鹏雅10号第120期 王同博 QT员工号：3004238546</t>
        </is>
      </c>
      <c r="T42" s="0" t="inlineStr">
        <is>
          <t>暂不交易</t>
        </is>
      </c>
      <c r="U42" s="1" t="n"/>
    </row>
    <row r="43">
      <c r="A43" s="156" t="n">
        <v>46121</v>
      </c>
      <c r="B43" s="241" t="inlineStr">
        <is>
          <t>25建欣16C-信达</t>
        </is>
      </c>
      <c r="C43" s="112" t="n"/>
      <c r="D43" s="654" t="n">
        <v>810.8697599999999</v>
      </c>
      <c r="E43" s="572">
        <f>+E42+C43-D43</f>
        <v/>
      </c>
      <c r="F43" s="562" t="inlineStr">
        <is>
          <t>25建欣16C[2589486.IB]，768w，105.582，4月9日，信达证券 to 粤财鹏雅10号第120期 王同博 QT员工号：3004238546</t>
        </is>
      </c>
      <c r="G43" s="0" t="inlineStr">
        <is>
          <t>gtht</t>
        </is>
      </c>
      <c r="H43" s="0" t="inlineStr">
        <is>
          <t>25橙益21C</t>
        </is>
      </c>
      <c r="I43" s="0" t="inlineStr">
        <is>
          <t>2589364.IB</t>
        </is>
      </c>
      <c r="J43" s="563" t="n">
        <v>9000</v>
      </c>
      <c r="K43" s="464" t="n">
        <v>0.045</v>
      </c>
      <c r="L43" s="1" t="n">
        <v>45925</v>
      </c>
      <c r="M43" s="348" t="n">
        <v>100</v>
      </c>
      <c r="N43" s="564" t="n">
        <v>90</v>
      </c>
      <c r="O43" s="0" t="n">
        <v>100</v>
      </c>
      <c r="P43" s="117" t="n">
        <v>46121</v>
      </c>
      <c r="Q43" s="0" t="n">
        <v>102.39</v>
      </c>
      <c r="R43" s="577">
        <f>+Q43*J43/10000</f>
        <v/>
      </c>
      <c r="S43" s="0" t="inlineStr">
        <is>
          <t>25橙益21C[2589364.IB]，90w，102.39，4月9日，国泰海通 冉雅婷 2881971956 to 粤财鹏雅10号第120期 王同博 QT员工号：3004238546</t>
        </is>
      </c>
      <c r="T43" s="0" t="inlineStr">
        <is>
          <t>暂不交易</t>
        </is>
      </c>
      <c r="U43" s="117" t="n"/>
    </row>
    <row r="44">
      <c r="A44" s="156" t="n">
        <v>46121</v>
      </c>
      <c r="B44" s="241" t="inlineStr">
        <is>
          <t>25建欣11C</t>
        </is>
      </c>
      <c r="C44" s="669" t="n"/>
      <c r="D44" s="654" t="n">
        <v>31.656</v>
      </c>
      <c r="E44" s="572">
        <f>+E43+C44-D44</f>
        <v/>
      </c>
      <c r="F44" s="562" t="inlineStr">
        <is>
          <t>25建欣11C[2589247.IB]，30w，105.52，4月9日，信达证券 to 粤财鹏雅10号第120期 王同博 QT员工号：3004238546</t>
        </is>
      </c>
      <c r="R44" s="670">
        <f>SUM(R37:R43)</f>
        <v/>
      </c>
      <c r="U44" s="117" t="n"/>
    </row>
    <row r="45">
      <c r="A45" s="156" t="n">
        <v>46121</v>
      </c>
      <c r="B45" s="241" t="inlineStr">
        <is>
          <t>25工元至诚普银3C</t>
        </is>
      </c>
      <c r="C45" s="669" t="n"/>
      <c r="D45" s="654" t="n">
        <v>401.2983</v>
      </c>
      <c r="E45" s="572">
        <f>+E44+C45-D45</f>
        <v/>
      </c>
      <c r="F45" s="562" t="inlineStr">
        <is>
          <t>25工元至诚普银3C[2589168.IB]，351w，114.33，4月9日，国泰海通 冉雅婷 2881971956 to 粤财鹏雅10号第120期 王同博 QT员工号：3004238546</t>
        </is>
      </c>
    </row>
    <row r="46">
      <c r="A46" s="156" t="n"/>
      <c r="B46" s="241" t="n"/>
      <c r="C46" s="669" t="n"/>
      <c r="D46" s="654" t="n"/>
      <c r="E46" s="572">
        <f>+E45+C46-D46</f>
        <v/>
      </c>
      <c r="J46" s="0" t="inlineStr">
        <is>
          <t>25建欣7C[2589216.IB]，413w，107.03，4月9日，国泰海通 冉雅婷 2881971956 to 粤财鹏雅10号第120期 王同博 QT员工号：3004238546</t>
        </is>
      </c>
    </row>
    <row r="47">
      <c r="A47" s="156" t="n">
        <v>46121</v>
      </c>
      <c r="B47" s="241" t="inlineStr">
        <is>
          <t>元康29号追加</t>
        </is>
      </c>
      <c r="C47" s="112" t="n">
        <v>150</v>
      </c>
      <c r="D47" s="112" t="n"/>
      <c r="E47" s="572">
        <f>+E46+C47-D47</f>
        <v/>
      </c>
      <c r="J47" s="0" t="inlineStr">
        <is>
          <t>25橙益21C[2589364.IB]，90w，102.39，4月9日，国泰海通 冉雅婷 2881971956 to 粤财鹏雅10号第120期 王同博 QT员工号：3004238546</t>
        </is>
      </c>
    </row>
    <row r="48">
      <c r="A48" s="156" t="n">
        <v>46122</v>
      </c>
      <c r="B48" s="241" t="inlineStr">
        <is>
          <t>25臻金2C</t>
        </is>
      </c>
      <c r="C48" s="112" t="n"/>
      <c r="D48" s="654" t="n">
        <v>1120</v>
      </c>
      <c r="E48" s="572">
        <f>+E47+C48-D48</f>
        <v/>
      </c>
      <c r="F48" s="562" t="inlineStr">
        <is>
          <t>2026/4/10+0  25臻金2C (2589159.IB)  交易面额1000w  价格112.0143  中信证券 出给粤财信托 王同博</t>
        </is>
      </c>
    </row>
    <row r="49">
      <c r="A49" s="156" t="n"/>
      <c r="B49" s="112" t="n"/>
      <c r="C49" s="112" t="n"/>
      <c r="D49" s="112" t="n"/>
      <c r="E49" s="572">
        <f>+E48+C49-D49</f>
        <v/>
      </c>
    </row>
    <row r="50">
      <c r="A50" s="156" t="n"/>
      <c r="B50" s="112" t="n"/>
      <c r="C50" s="112" t="n"/>
      <c r="D50" s="112" t="n"/>
      <c r="E50" s="572">
        <f>+E49+C50-D50</f>
        <v/>
      </c>
    </row>
    <row r="51">
      <c r="A51" s="156" t="n"/>
      <c r="B51" s="112" t="n"/>
      <c r="C51" s="112" t="n"/>
      <c r="D51" s="112" t="n"/>
      <c r="E51" s="572">
        <f>+E50+C51-D51</f>
        <v/>
      </c>
    </row>
    <row r="52">
      <c r="A52" s="156" t="n"/>
      <c r="B52" s="112" t="n"/>
      <c r="C52" s="112" t="n"/>
      <c r="D52" s="112" t="n"/>
      <c r="E52" s="572">
        <f>+E51+C52-D52</f>
        <v/>
      </c>
    </row>
    <row r="53">
      <c r="A53" s="156" t="n">
        <v>46134</v>
      </c>
      <c r="B53" s="112" t="inlineStr">
        <is>
          <t>元康29号追加</t>
        </is>
      </c>
      <c r="C53" s="112" t="n">
        <v>210</v>
      </c>
      <c r="D53" s="112" t="n"/>
      <c r="E53" s="572">
        <f>+E52+C53-D53</f>
        <v/>
      </c>
    </row>
    <row r="54">
      <c r="A54" s="156" t="n">
        <v>46135</v>
      </c>
      <c r="B54" s="112" t="inlineStr">
        <is>
          <t>25浦鑫归航7C</t>
        </is>
      </c>
      <c r="C54" s="112" t="n"/>
      <c r="D54" s="112" t="n">
        <v>154.1205</v>
      </c>
      <c r="E54" s="572">
        <f>+E53+C54-D54</f>
        <v/>
      </c>
      <c r="F54" s="562" t="inlineStr">
        <is>
          <t>4/23, 25浦鑫归航7C[2589350.IB]，150w，102.747，国泰海通 冉雅婷 to 粤财鹏雅10号第120期 王同博 QT员工号：3004238546</t>
        </is>
      </c>
    </row>
    <row r="55">
      <c r="A55" s="156" t="n"/>
      <c r="B55" s="112" t="n"/>
      <c r="C55" s="112" t="n"/>
      <c r="D55" s="112" t="n"/>
      <c r="E55" s="572">
        <f>+E54+C55-D55</f>
        <v/>
      </c>
    </row>
    <row r="56">
      <c r="A56" s="156" t="n">
        <v>46135</v>
      </c>
      <c r="B56" s="112" t="inlineStr">
        <is>
          <t>25招元和萃5优先</t>
        </is>
      </c>
      <c r="C56" s="112" t="n"/>
      <c r="D56" s="112" t="n">
        <v>7.712965</v>
      </c>
      <c r="E56" s="572">
        <f>+E55+C56-D56</f>
        <v/>
      </c>
      <c r="F56" s="562" t="inlineStr">
        <is>
          <t>25招元和萃5优先，2589181，65w，20260423，净价11.8477/全价11.8661；国泰海通 田飞凡 to 粤财信托鹏雅10号120期，王同博</t>
        </is>
      </c>
      <c r="L56" s="0" t="inlineStr">
        <is>
          <t>净价</t>
        </is>
      </c>
      <c r="M56" s="0" t="inlineStr">
        <is>
          <t>全价</t>
        </is>
      </c>
    </row>
    <row r="57">
      <c r="A57" s="156" t="n">
        <v>46135</v>
      </c>
      <c r="B57" s="112" t="inlineStr">
        <is>
          <t>25招元和萃5C</t>
        </is>
      </c>
      <c r="C57" s="112" t="n"/>
      <c r="D57" s="112" t="n">
        <v>56.27</v>
      </c>
      <c r="E57" s="572">
        <f>+E56+C57-D57</f>
        <v/>
      </c>
      <c r="F57" s="562" t="inlineStr">
        <is>
          <t>25招元和萃5C，2589182，50w，20260423，报价112.54；国泰海通 田飞凡 to 粤财信托鹏雅10号120期，王同博</t>
        </is>
      </c>
      <c r="I57" s="0" t="inlineStr">
        <is>
          <t>25浦鑫归航5优先，20w，票面2.3%</t>
        </is>
      </c>
      <c r="J57" s="0" t="n">
        <v>20</v>
      </c>
      <c r="K57" s="564">
        <f>20*L57/100</f>
        <v/>
      </c>
      <c r="L57" s="0">
        <f>100-4.93</f>
        <v/>
      </c>
      <c r="M57" s="0" t="n">
        <v>96.14230000000001</v>
      </c>
      <c r="N57" s="0">
        <f>+M57*J57/100</f>
        <v/>
      </c>
      <c r="Q57" s="0" t="inlineStr">
        <is>
          <t>23臻金2C</t>
        </is>
      </c>
    </row>
    <row r="58">
      <c r="A58" s="156" t="n"/>
      <c r="B58" s="112" t="n"/>
      <c r="C58" s="112" t="n"/>
      <c r="D58" s="112" t="n"/>
      <c r="E58" s="572">
        <f>+E57+C58-D58</f>
        <v/>
      </c>
      <c r="I58" s="0" t="inlineStr">
        <is>
          <t>25招元和萃5优先，65w，票面2.03%</t>
        </is>
      </c>
      <c r="J58" s="0" t="n">
        <v>65</v>
      </c>
      <c r="K58" s="564">
        <f>J58*L58/100</f>
        <v/>
      </c>
      <c r="L58" s="0">
        <f>2381.3877/201</f>
        <v/>
      </c>
      <c r="M58" s="0" t="n">
        <v>11.8661</v>
      </c>
      <c r="N58" s="0">
        <f>+M58*J58/100</f>
        <v/>
      </c>
    </row>
    <row r="59">
      <c r="A59" s="156" t="n">
        <v>46136</v>
      </c>
      <c r="B59" s="112" t="inlineStr">
        <is>
          <t>25建欣1C</t>
        </is>
      </c>
      <c r="C59" s="112" t="n">
        <v>857.46825</v>
      </c>
      <c r="D59" s="112" t="n"/>
      <c r="E59" s="572">
        <f>+E58+C59-D59</f>
        <v/>
      </c>
      <c r="F59" s="0" t="inlineStr">
        <is>
          <t>4/24, 25建欣1C[2589057.IB]，750w，114.4557，粤财鹏雅10号第120期 王同博 QT员工号：3004238546  to 国泰海通 冉雅婷</t>
        </is>
      </c>
      <c r="I59" s="0" t="inlineStr">
        <is>
          <t>25招元和萃5C，50w</t>
        </is>
      </c>
      <c r="J59" s="0" t="n">
        <v>50</v>
      </c>
      <c r="K59" s="564" t="n">
        <v>55</v>
      </c>
      <c r="L59" s="0" t="n">
        <v>112.54</v>
      </c>
      <c r="M59" s="0">
        <f>+L59</f>
        <v/>
      </c>
      <c r="N59" s="0">
        <f>+M59*J59/100</f>
        <v/>
      </c>
    </row>
    <row r="60">
      <c r="A60" s="156" t="n">
        <v>46136</v>
      </c>
      <c r="B60" s="112" t="inlineStr">
        <is>
          <t>25臻金3C</t>
        </is>
      </c>
      <c r="C60" s="112" t="n"/>
      <c r="D60" s="112" t="n">
        <v>821.4</v>
      </c>
      <c r="E60" s="572">
        <f>+E59+C60-D60</f>
        <v/>
      </c>
      <c r="F60" s="0" t="inlineStr">
        <is>
          <t>4/24, 25臻金3C[2589318.IB]，800w，102.675，国泰海通 冉雅婷 to 粤财鹏雅10号第120期 王同博 QT员工号：3004238546</t>
        </is>
      </c>
      <c r="N60" s="0">
        <f>SUM(N57:N59)</f>
        <v/>
      </c>
    </row>
    <row r="61">
      <c r="A61" s="156" t="n">
        <v>46136</v>
      </c>
      <c r="B61" s="112" t="inlineStr">
        <is>
          <t>信保基金</t>
        </is>
      </c>
      <c r="C61" s="112" t="n"/>
      <c r="D61" s="112" t="n">
        <v>25.2</v>
      </c>
      <c r="E61" s="572">
        <f>+E60+C61-D61</f>
        <v/>
      </c>
      <c r="K61" s="0">
        <f>SUM(K57:K59)</f>
        <v/>
      </c>
    </row>
    <row r="62">
      <c r="A62" s="156" t="n">
        <v>46139</v>
      </c>
      <c r="B62" s="112" t="inlineStr">
        <is>
          <t>回款</t>
        </is>
      </c>
      <c r="C62" s="112" t="n">
        <v>1298.8</v>
      </c>
      <c r="D62" s="112" t="n"/>
      <c r="E62" s="572">
        <f>+E61+C62-D62</f>
        <v/>
      </c>
    </row>
    <row r="63">
      <c r="A63" s="156" t="n">
        <v>46140</v>
      </c>
      <c r="B63" s="112" t="inlineStr">
        <is>
          <t>元康29</t>
        </is>
      </c>
      <c r="C63" s="112" t="n">
        <v>1500</v>
      </c>
      <c r="D63" s="112" t="n"/>
      <c r="E63" s="572">
        <f>+E62+C63-D63</f>
        <v/>
      </c>
      <c r="H63" s="0" t="inlineStr">
        <is>
          <t>毛旸</t>
        </is>
      </c>
      <c r="I63" s="0" t="inlineStr">
        <is>
          <t>25浦鑫归航5优先</t>
        </is>
      </c>
      <c r="J63" s="0" t="n">
        <v>80</v>
      </c>
      <c r="K63" s="0">
        <f>J63*L63/100</f>
        <v/>
      </c>
      <c r="L63" s="0">
        <f>100-4.93</f>
        <v/>
      </c>
      <c r="M63" s="0" t="n">
        <v>96.14230000000001</v>
      </c>
      <c r="N63" s="0">
        <f>+M63*J63/100</f>
        <v/>
      </c>
    </row>
    <row r="64">
      <c r="A64" s="156" t="n">
        <v>46141</v>
      </c>
      <c r="B64" s="241" t="inlineStr">
        <is>
          <t>23中誉至诚5C</t>
        </is>
      </c>
      <c r="C64" s="112" t="n"/>
      <c r="D64" s="112">
        <f>841*119.02%</f>
        <v/>
      </c>
      <c r="E64" s="572">
        <f>+E63+C64-D64</f>
        <v/>
      </c>
      <c r="F64" s="562" t="inlineStr">
        <is>
          <t>4/29，23中誉至诚5C，2389446.IB，841w，119.02，国泰海通 冉雅婷 to 粤财鹏雅10号第120期 王同博 QT员工号：3004238546</t>
        </is>
      </c>
    </row>
    <row r="65">
      <c r="A65" s="156" t="n">
        <v>46141</v>
      </c>
      <c r="B65" s="241" t="inlineStr">
        <is>
          <t>23工元至诚8C</t>
        </is>
      </c>
      <c r="C65" s="112" t="n"/>
      <c r="D65" s="112">
        <f>1400*131.12%</f>
        <v/>
      </c>
      <c r="E65" s="572">
        <f>+E64+C65-D65</f>
        <v/>
      </c>
      <c r="F65" s="562" t="inlineStr">
        <is>
          <t>4/29，23工元至诚8C，2389487.IB，1400w，131.12，国泰海通 冉雅婷 to 粤财鹏雅10号第120期 王同博 QT员工号：3004238546</t>
        </is>
      </c>
      <c r="K65" s="0" t="inlineStr">
        <is>
          <t>价格</t>
        </is>
      </c>
      <c r="L65" s="0" t="inlineStr">
        <is>
          <t>金额</t>
        </is>
      </c>
      <c r="N65" s="0" t="inlineStr">
        <is>
          <t>估值</t>
        </is>
      </c>
    </row>
    <row r="66">
      <c r="A66" s="156" t="n"/>
      <c r="B66" s="112" t="n"/>
      <c r="C66" s="112" t="n"/>
      <c r="D66" s="112" t="n"/>
      <c r="E66" s="572">
        <f>+E65+C66-D66</f>
        <v/>
      </c>
      <c r="I66" s="0" t="inlineStr">
        <is>
          <t>25建欣1C</t>
        </is>
      </c>
      <c r="J66" s="0" t="n">
        <v>750</v>
      </c>
      <c r="K66" s="0">
        <f>+N66</f>
        <v/>
      </c>
      <c r="L66" s="564">
        <f>+K66*J66/100</f>
        <v/>
      </c>
      <c r="N66" s="0" t="n">
        <v>114.4557</v>
      </c>
    </row>
    <row r="67">
      <c r="A67" s="156" t="n"/>
      <c r="B67" s="112" t="n"/>
      <c r="C67" s="112" t="n"/>
      <c r="D67" s="112" t="n"/>
      <c r="E67" s="572">
        <f>+E66+C67-D67</f>
        <v/>
      </c>
      <c r="I67" s="0" t="inlineStr">
        <is>
          <t>25臻金3C</t>
        </is>
      </c>
      <c r="J67" s="0" t="n">
        <v>800</v>
      </c>
      <c r="K67" s="595">
        <f>+M71</f>
        <v/>
      </c>
      <c r="L67" s="564">
        <f>+K67*J67/100</f>
        <v/>
      </c>
    </row>
    <row r="68">
      <c r="A68" s="156" t="n">
        <v>46156</v>
      </c>
      <c r="B68" s="112" t="inlineStr">
        <is>
          <t>元康29申购</t>
        </is>
      </c>
      <c r="C68" s="112" t="n">
        <v>4800</v>
      </c>
      <c r="D68" s="112" t="n"/>
      <c r="E68" s="572">
        <f>+E67+C68-D68</f>
        <v/>
      </c>
      <c r="L68" s="564">
        <f>+L66-L67</f>
        <v/>
      </c>
    </row>
    <row r="69">
      <c r="A69" s="156" t="n"/>
      <c r="B69" s="112" t="n"/>
      <c r="C69" s="112" t="n"/>
      <c r="D69" s="112" t="n"/>
      <c r="E69" s="572">
        <f>+E68+C69-D69</f>
        <v/>
      </c>
      <c r="G69" s="464" t="n"/>
      <c r="I69" s="0" t="inlineStr">
        <is>
          <t>25建欣1C</t>
        </is>
      </c>
      <c r="J69" s="464">
        <f>XIRR(J70:J73,I70:I73)</f>
        <v/>
      </c>
      <c r="K69" s="464">
        <f>XIRR(K72:K73,I72:I73)</f>
        <v/>
      </c>
      <c r="L69" s="0" t="inlineStr">
        <is>
          <t>25臻金3C</t>
        </is>
      </c>
      <c r="M69" s="464">
        <f>XIRR(M70:M71,L70:L71)</f>
        <v/>
      </c>
    </row>
    <row r="70">
      <c r="A70" s="156" t="n">
        <v>46157</v>
      </c>
      <c r="B70" s="112" t="inlineStr">
        <is>
          <t>25建欣12C</t>
        </is>
      </c>
      <c r="C70" s="112" t="n"/>
      <c r="D70" s="112">
        <f>640*108.146%</f>
        <v/>
      </c>
      <c r="E70" s="572">
        <f>+E69+C70-D70</f>
        <v/>
      </c>
      <c r="F70" s="562" t="inlineStr">
        <is>
          <t>2589286.IB  25建欣12C  640W  净价/全价108.136元   0515+0   山东信托（QT：3004283409，山东信托刘和玉）出  天风证券 李泽堃3007354220
2589286.IB  25建欣12C  640W  净价/全价108.146元   0515+0   天风证券 李泽堃3007354220  出   粤财鹏雅10号第120期 王同博 QT员工号：3004238546</t>
        </is>
      </c>
      <c r="I70" s="1" t="n">
        <v>45743</v>
      </c>
      <c r="J70" s="0" t="n">
        <v>-105</v>
      </c>
      <c r="L70" s="1" t="n">
        <v>45917</v>
      </c>
      <c r="M70" s="0" t="n">
        <v>-100</v>
      </c>
    </row>
    <row r="71">
      <c r="A71" s="156" t="n">
        <v>46157</v>
      </c>
      <c r="B71" s="112" t="inlineStr">
        <is>
          <t>23工元至诚1C</t>
        </is>
      </c>
      <c r="C71" s="112" t="n"/>
      <c r="D71" s="112">
        <f>3200*73.552%</f>
        <v/>
      </c>
      <c r="E71" s="572">
        <f>+E70+C71-D71</f>
        <v/>
      </c>
      <c r="F71" s="562" t="inlineStr">
        <is>
          <t>2389064.IB  23工元至诚1C    3200W  净价/全价  73.542元   0515+0   山东信托（QT：3004283409，山东信托刘和玉）出  天风证券 李泽堃3007354220
2389064.IB  23工元至诚1C    3200W  净价/全价  73.552元   0515+0   天风证券 李泽堃3007354220  出   粤财鹏雅10号第120期 王同博 QT员工号：3004238546</t>
        </is>
      </c>
      <c r="I71" s="117" t="n">
        <v>46048</v>
      </c>
      <c r="J71" s="0" t="n">
        <v>1.23</v>
      </c>
      <c r="L71" s="1" t="n">
        <v>46136</v>
      </c>
      <c r="M71" s="579" t="n">
        <v>102.675</v>
      </c>
    </row>
    <row r="72">
      <c r="A72" s="156" t="n"/>
      <c r="B72" s="112" t="n"/>
      <c r="C72" s="112" t="n"/>
      <c r="D72" s="112" t="n"/>
      <c r="E72" s="572">
        <f>+E71+C72-D72</f>
        <v/>
      </c>
      <c r="F72" s="1" t="n"/>
      <c r="I72" s="1" t="n">
        <v>46113</v>
      </c>
      <c r="K72" s="0" t="n">
        <v>-109.078</v>
      </c>
    </row>
    <row r="73">
      <c r="A73" s="156" t="n">
        <v>46160</v>
      </c>
      <c r="B73" s="112" t="inlineStr">
        <is>
          <t>鸿富26-1</t>
        </is>
      </c>
      <c r="C73" s="112" t="n"/>
      <c r="D73" s="112">
        <f>1000*1.03</f>
        <v/>
      </c>
      <c r="E73" s="572">
        <f>+E72+C73-D73</f>
        <v/>
      </c>
      <c r="F73" s="562" t="inlineStr">
        <is>
          <t>26鸿富1C，2689082，1000w，103，5/13簿记，5/18缴款，鹏雅10号120期</t>
        </is>
      </c>
      <c r="I73" s="117" t="n">
        <v>46136</v>
      </c>
      <c r="J73" s="0">
        <f>N66</f>
        <v/>
      </c>
      <c r="K73" s="0">
        <f>+J73</f>
        <v/>
      </c>
    </row>
    <row r="74">
      <c r="A74" s="156" t="n">
        <v>46160</v>
      </c>
      <c r="B74" s="112" t="inlineStr">
        <is>
          <t>鸿富26-2</t>
        </is>
      </c>
      <c r="C74" s="112" t="n"/>
      <c r="D74" s="112">
        <f>600*1.02</f>
        <v/>
      </c>
      <c r="E74" s="572">
        <f>+E73+C74-D74</f>
        <v/>
      </c>
      <c r="F74" s="562" t="inlineStr">
        <is>
          <t>26鸿富2C，2689084，600w，102，5/13簿记，5/18缴款，鹏雅10号120期</t>
        </is>
      </c>
      <c r="K74" s="0" t="inlineStr">
        <is>
          <t>鹏雅120</t>
        </is>
      </c>
    </row>
    <row r="75">
      <c r="A75" s="156" t="n"/>
      <c r="B75" s="112" t="n"/>
      <c r="C75" s="112" t="n"/>
      <c r="D75" s="112" t="n"/>
      <c r="E75" s="572">
        <f>+E74+C75-D75</f>
        <v/>
      </c>
    </row>
    <row r="76">
      <c r="A76" s="156" t="n">
        <v>46161</v>
      </c>
      <c r="B76" s="112" t="inlineStr">
        <is>
          <t>26建欣2C</t>
        </is>
      </c>
      <c r="C76" s="112" t="n"/>
      <c r="D76" s="112" t="n">
        <v>110</v>
      </c>
      <c r="E76" s="572">
        <f>+E75+C76-D76</f>
        <v/>
      </c>
      <c r="F76" s="562" t="inlineStr">
        <is>
          <t>5/19缴款，5/20起息，26建欣2C，2689096，110w，100元，鹏雅10号120期</t>
        </is>
      </c>
    </row>
    <row r="77">
      <c r="E77" s="563">
        <f>+E76+C77-D77</f>
        <v/>
      </c>
      <c r="I77" s="0" t="inlineStr">
        <is>
          <t>23中誉至诚5C</t>
        </is>
      </c>
      <c r="J77" s="464">
        <f>XIRR(J78:J79,I78:I79)</f>
        <v/>
      </c>
      <c r="L77" s="0" t="inlineStr">
        <is>
          <t>23工元至诚8C</t>
        </is>
      </c>
      <c r="M77" s="464">
        <f>XIRR(M78:M79,L78:L79)</f>
        <v/>
      </c>
    </row>
    <row r="78">
      <c r="E78" s="563">
        <f>+E77+C78-D78</f>
        <v/>
      </c>
      <c r="I78" s="1" t="n">
        <v>45274</v>
      </c>
      <c r="J78" s="0" t="n">
        <v>-106</v>
      </c>
      <c r="L78" s="1" t="n">
        <v>45288</v>
      </c>
      <c r="M78" s="0" t="n">
        <v>-117</v>
      </c>
    </row>
    <row r="79">
      <c r="E79" s="563">
        <f>+E78+C79-D79</f>
        <v/>
      </c>
      <c r="I79" s="1" t="n">
        <v>46141</v>
      </c>
      <c r="J79" s="0" t="n">
        <v>119.02</v>
      </c>
      <c r="L79" s="1" t="n">
        <v>46141</v>
      </c>
      <c r="M79" s="0" t="n">
        <v>131.12</v>
      </c>
      <c r="O79" s="671" t="n">
        <v>130.8207</v>
      </c>
      <c r="P79" s="564" t="n">
        <v>130.8375</v>
      </c>
      <c r="Q79" s="672">
        <f>+P79-O79</f>
        <v/>
      </c>
    </row>
    <row r="80">
      <c r="E80" s="563">
        <f>+E79+C80-D80</f>
        <v/>
      </c>
      <c r="N80" s="0">
        <f>O79*(1+4.89%/365*6)</f>
        <v/>
      </c>
      <c r="Q80" s="0">
        <f>+Q79*365</f>
        <v/>
      </c>
    </row>
    <row r="81">
      <c r="E81" s="563">
        <f>+E80+C81-D81</f>
        <v/>
      </c>
    </row>
    <row r="82">
      <c r="E82" s="563">
        <f>+E81+C82-D82</f>
        <v/>
      </c>
      <c r="M82" s="564">
        <f>+M78*(1+5.1%*(L79-L78)/365)</f>
        <v/>
      </c>
    </row>
    <row r="83">
      <c r="E83" s="563">
        <f>+E82+C83-D83</f>
        <v/>
      </c>
    </row>
  </sheetData>
  <conditionalFormatting sqref="E1:E1048576">
    <cfRule type="cellIs" priority="1" operator="lessThan" dxfId="0">
      <formula>0</formula>
    </cfRule>
  </conditionalFormatting>
  <pageMargins left="0.7" right="0.7" top="0.75" bottom="0.75" header="0.3" footer="0.3"/>
  <pageSetup orientation="portrait" paperSize="9"/>
</worksheet>
</file>

<file path=xl/worksheets/sheet22.xml><?xml version="1.0" encoding="utf-8"?>
<worksheet xmlns="http://schemas.openxmlformats.org/spreadsheetml/2006/main">
  <sheetPr codeName="Sheet16">
    <outlinePr summaryBelow="1" summaryRight="1"/>
    <pageSetUpPr/>
  </sheetPr>
  <dimension ref="A1:H23"/>
  <sheetViews>
    <sheetView workbookViewId="0">
      <pane ySplit="2" topLeftCell="A3" activePane="bottomLeft" state="frozen"/>
      <selection pane="bottomLeft" activeCell="E1" sqref="E1:E1048576"/>
    </sheetView>
  </sheetViews>
  <sheetFormatPr baseColWidth="8" defaultRowHeight="16.5"/>
  <cols>
    <col width="10" bestFit="1" customWidth="1" style="4" min="1" max="1"/>
    <col width="9.5" customWidth="1" style="326" min="2" max="2"/>
    <col width="7.75" customWidth="1" style="326" min="3" max="4"/>
    <col width="8.75" bestFit="1" customWidth="1" style="563" min="5" max="5"/>
  </cols>
  <sheetData>
    <row r="1">
      <c r="A1" s="10" t="n"/>
      <c r="B1" s="10" t="n"/>
      <c r="C1" s="10" t="n"/>
      <c r="D1" s="10" t="n"/>
      <c r="E1" s="10" t="n"/>
    </row>
    <row r="2">
      <c r="A2" s="4" t="inlineStr">
        <is>
          <t>日期</t>
        </is>
      </c>
      <c r="B2" s="0" t="inlineStr">
        <is>
          <t>现金流类型</t>
        </is>
      </c>
      <c r="C2" s="0" t="inlineStr">
        <is>
          <t>现金流入</t>
        </is>
      </c>
      <c r="D2" s="0" t="inlineStr">
        <is>
          <t>现金流出</t>
        </is>
      </c>
      <c r="E2" s="563" t="inlineStr">
        <is>
          <t>期末余额</t>
        </is>
      </c>
    </row>
    <row r="3">
      <c r="A3" s="156" t="n">
        <v>46023</v>
      </c>
      <c r="B3" s="112" t="n"/>
      <c r="C3" s="112" t="n"/>
      <c r="D3" s="112" t="n"/>
      <c r="E3" s="572" t="n"/>
    </row>
    <row r="4">
      <c r="A4" s="156" t="n"/>
      <c r="B4" s="112" t="n"/>
      <c r="C4" s="112" t="n"/>
      <c r="D4" s="112" t="n"/>
      <c r="E4" s="572" t="n">
        <v>502</v>
      </c>
    </row>
    <row r="5">
      <c r="A5" s="156" t="n">
        <v>46031</v>
      </c>
      <c r="B5" s="112" t="inlineStr">
        <is>
          <t>新增申购</t>
        </is>
      </c>
      <c r="C5" s="112" t="n">
        <v>374</v>
      </c>
      <c r="D5" s="112" t="n"/>
      <c r="E5" s="572">
        <f>+E4+C5-D5</f>
        <v/>
      </c>
    </row>
    <row r="6">
      <c r="A6" s="156" t="n"/>
      <c r="B6" s="112" t="n"/>
      <c r="C6" s="112" t="n"/>
      <c r="D6" s="112" t="n"/>
      <c r="E6" s="572">
        <f>+E5+C6-D6</f>
        <v/>
      </c>
    </row>
    <row r="7">
      <c r="A7" s="156" t="n">
        <v>46035</v>
      </c>
      <c r="B7" s="112" t="inlineStr">
        <is>
          <t>赎回</t>
        </is>
      </c>
      <c r="C7" s="112" t="n"/>
      <c r="D7" s="112" t="n">
        <v>500</v>
      </c>
      <c r="E7" s="572">
        <f>+E6+C7-D7</f>
        <v/>
      </c>
    </row>
    <row r="8">
      <c r="A8" s="156" t="n">
        <v>46035</v>
      </c>
      <c r="B8" s="112" t="inlineStr">
        <is>
          <t>新增申购</t>
        </is>
      </c>
      <c r="C8" s="112" t="n">
        <v>1608</v>
      </c>
      <c r="D8" s="112" t="n"/>
      <c r="E8" s="572">
        <f>+E7+C8-D8</f>
        <v/>
      </c>
    </row>
    <row r="9">
      <c r="A9" s="156" t="n">
        <v>46036</v>
      </c>
      <c r="B9" s="112" t="inlineStr">
        <is>
          <t>新增申购</t>
        </is>
      </c>
      <c r="C9" s="112" t="n">
        <v>1945</v>
      </c>
      <c r="D9" s="112" t="n"/>
      <c r="E9" s="572">
        <f>+E8+C9-D9</f>
        <v/>
      </c>
    </row>
    <row r="10">
      <c r="A10" s="156" t="n"/>
      <c r="B10" s="112" t="n"/>
      <c r="C10" s="112" t="n"/>
      <c r="D10" s="112" t="n"/>
      <c r="E10" s="572">
        <f>+E9+C10-D10</f>
        <v/>
      </c>
      <c r="G10" s="0" t="n">
        <v>4023</v>
      </c>
      <c r="H10" s="0">
        <f>D11-G10</f>
        <v/>
      </c>
    </row>
    <row r="11">
      <c r="A11" s="156" t="n">
        <v>46036</v>
      </c>
      <c r="B11" s="112" t="inlineStr">
        <is>
          <t>申购朗瑞1-1</t>
        </is>
      </c>
      <c r="C11" s="112" t="n"/>
      <c r="D11" s="112" t="n">
        <v>3928</v>
      </c>
      <c r="E11" s="572" t="n">
        <v>2.5</v>
      </c>
      <c r="G11" s="0" t="inlineStr">
        <is>
          <t>按此金额</t>
        </is>
      </c>
      <c r="H11" s="0" t="inlineStr">
        <is>
          <t>25光大环保ABN001次(碳中和债)[082581155.IB] ,3905w,100.5562,1月14日，t+0，国泰海通 xx to 朗瑞1号1期 孟亚琪</t>
        </is>
      </c>
    </row>
    <row r="12">
      <c r="A12" s="156" t="n">
        <v>46141</v>
      </c>
      <c r="B12" s="112" t="inlineStr">
        <is>
          <t>申购朗瑞1-1</t>
        </is>
      </c>
      <c r="C12" s="112" t="n"/>
      <c r="D12" s="112" t="n">
        <v>2</v>
      </c>
      <c r="E12" s="572">
        <f>+E11+C12-D12</f>
        <v/>
      </c>
    </row>
    <row r="13">
      <c r="E13" s="563">
        <f>+E12+C13-D13</f>
        <v/>
      </c>
    </row>
    <row r="14">
      <c r="E14" s="563">
        <f>+E13+C14-D14</f>
        <v/>
      </c>
    </row>
    <row r="15">
      <c r="E15" s="563">
        <f>+E14+C15-D15</f>
        <v/>
      </c>
    </row>
    <row r="16">
      <c r="E16" s="563">
        <f>+E15+C16-D16</f>
        <v/>
      </c>
    </row>
    <row r="17">
      <c r="E17" s="563">
        <f>+E16+C17-D17</f>
        <v/>
      </c>
    </row>
    <row r="18">
      <c r="E18" s="563">
        <f>+E17+C18-D18</f>
        <v/>
      </c>
    </row>
    <row r="19">
      <c r="E19" s="563">
        <f>+E18+C19-D19</f>
        <v/>
      </c>
    </row>
    <row r="20">
      <c r="E20" s="563">
        <f>+E19+C20-D20</f>
        <v/>
      </c>
    </row>
    <row r="21">
      <c r="E21" s="563">
        <f>+E20+C21-D21</f>
        <v/>
      </c>
    </row>
    <row r="22">
      <c r="E22" s="563">
        <f>+E21+C22-D22</f>
        <v/>
      </c>
    </row>
    <row r="23">
      <c r="E23" s="563">
        <f>+E22+C23-D23</f>
        <v/>
      </c>
    </row>
  </sheetData>
  <conditionalFormatting sqref="E1:E1048576">
    <cfRule type="cellIs" priority="1" operator="lessThan" dxfId="0">
      <formula>0</formula>
    </cfRule>
  </conditionalFormatting>
  <pageMargins left="0.7" right="0.7" top="0.75" bottom="0.75" header="0.3" footer="0.3"/>
</worksheet>
</file>

<file path=xl/worksheets/sheet23.xml><?xml version="1.0" encoding="utf-8"?>
<worksheet xmlns="http://schemas.openxmlformats.org/spreadsheetml/2006/main">
  <sheetPr codeName="Sheet17">
    <outlinePr summaryBelow="1" summaryRight="1"/>
    <pageSetUpPr/>
  </sheetPr>
  <dimension ref="A1:AJ111"/>
  <sheetViews>
    <sheetView zoomScale="90" zoomScaleNormal="90" workbookViewId="0">
      <pane ySplit="1" topLeftCell="A50" activePane="bottomLeft" state="frozen"/>
      <selection pane="bottomLeft" activeCell="E1" sqref="E1:E1048576"/>
    </sheetView>
  </sheetViews>
  <sheetFormatPr baseColWidth="8" defaultRowHeight="16.5"/>
  <cols>
    <col width="9.875" bestFit="1" customWidth="1" style="326" min="1" max="1"/>
    <col width="13.75" customWidth="1" style="326" min="2" max="2"/>
    <col width="10.375" bestFit="1" customWidth="1" style="326" min="3" max="3"/>
    <col width="13.125" bestFit="1" customWidth="1" style="326" min="4" max="4"/>
    <col width="13.125" customWidth="1" style="326" min="5" max="5"/>
    <col width="18.75" customWidth="1" style="326" min="6" max="6"/>
    <col width="9.375" bestFit="1" customWidth="1" style="326" min="9" max="9"/>
    <col width="10.375" bestFit="1" customWidth="1" style="326" min="10" max="10"/>
    <col width="10.5" customWidth="1" style="326" min="11" max="11"/>
    <col width="10" bestFit="1" customWidth="1" style="326" min="12" max="12"/>
    <col width="10.75" bestFit="1" customWidth="1" style="326" min="13" max="13"/>
    <col width="12.5" customWidth="1" style="326" min="15" max="15"/>
    <col width="9.875" bestFit="1" customWidth="1" style="326" min="16" max="16"/>
    <col width="11" bestFit="1" customWidth="1" style="326" min="17" max="17"/>
    <col width="10.375" customWidth="1" style="326" min="18" max="18"/>
    <col width="11" bestFit="1" customWidth="1" style="326" min="19" max="19"/>
    <col width="10" bestFit="1" customWidth="1" style="326" min="22" max="22"/>
  </cols>
  <sheetData>
    <row r="1">
      <c r="A1" s="4" t="inlineStr">
        <is>
          <t>日期</t>
        </is>
      </c>
      <c r="B1" s="0" t="inlineStr">
        <is>
          <t>现金流类型</t>
        </is>
      </c>
      <c r="C1" s="0" t="inlineStr">
        <is>
          <t>现金流入</t>
        </is>
      </c>
      <c r="D1" s="0" t="inlineStr">
        <is>
          <t>现金流出</t>
        </is>
      </c>
      <c r="E1" s="563" t="inlineStr">
        <is>
          <t>期末余额</t>
        </is>
      </c>
    </row>
    <row r="2">
      <c r="A2" s="4" t="n"/>
      <c r="E2" s="563" t="n"/>
      <c r="Q2" s="146" t="n">
        <v>0.2</v>
      </c>
      <c r="R2" s="596" t="n">
        <v>0.02</v>
      </c>
    </row>
    <row r="3">
      <c r="A3" s="4" t="n"/>
      <c r="E3" s="563" t="n"/>
      <c r="Q3" s="146" t="n">
        <v>0.3</v>
      </c>
      <c r="R3" s="596" t="n">
        <v>0.03</v>
      </c>
    </row>
    <row r="4">
      <c r="A4" s="156" t="n">
        <v>46086</v>
      </c>
      <c r="B4" s="112" t="inlineStr">
        <is>
          <t>新增申购</t>
        </is>
      </c>
      <c r="C4" s="112" t="n">
        <v>5720</v>
      </c>
      <c r="D4" s="112" t="n"/>
      <c r="E4" s="572">
        <f>+E3+C4-D4</f>
        <v/>
      </c>
      <c r="Q4" s="146" t="n">
        <v>0.2</v>
      </c>
      <c r="R4" s="596" t="n">
        <v>0.035</v>
      </c>
    </row>
    <row r="5">
      <c r="A5" s="156" t="n">
        <v>46087</v>
      </c>
      <c r="B5" s="112" t="inlineStr">
        <is>
          <t>配置资产</t>
        </is>
      </c>
      <c r="C5" s="112" t="n"/>
      <c r="D5" s="112" t="n"/>
      <c r="E5" s="572">
        <f>+E4+C5-D5</f>
        <v/>
      </c>
      <c r="I5" s="184" t="inlineStr">
        <is>
          <t>A</t>
        </is>
      </c>
      <c r="Q5" s="146" t="n">
        <v>0.3</v>
      </c>
      <c r="R5" s="596" t="n">
        <v>0.055</v>
      </c>
    </row>
    <row r="6">
      <c r="A6" s="112" t="n"/>
      <c r="B6" s="112" t="inlineStr">
        <is>
          <t>5美意3次</t>
        </is>
      </c>
      <c r="C6" s="112" t="n"/>
      <c r="D6" s="112">
        <f>1820*1.0763</f>
        <v/>
      </c>
      <c r="E6" s="572">
        <f>+E5+C6-D6</f>
        <v/>
      </c>
      <c r="F6" s="0" t="inlineStr">
        <is>
          <t>3/6,  5美意3次[263710.SH] ，1820w，107.63，粤开证券 许逸潇2881647849 to 中建投信托 臻泉2号李思韵 3003354775。</t>
        </is>
      </c>
      <c r="I6" s="184" t="inlineStr">
        <is>
          <t>AA+</t>
        </is>
      </c>
      <c r="M6" s="1" t="n"/>
      <c r="R6" s="464">
        <f>SUMPRODUCT(R2:R5,Q2:Q5)</f>
        <v/>
      </c>
    </row>
    <row r="7">
      <c r="A7" s="112" t="n"/>
      <c r="B7" s="112" t="inlineStr">
        <is>
          <t>盛煜015C</t>
        </is>
      </c>
      <c r="C7" s="112" t="n"/>
      <c r="D7" s="576">
        <f>2000*102.85/100</f>
        <v/>
      </c>
      <c r="E7" s="572">
        <f>+E6+C7-D7</f>
        <v/>
      </c>
      <c r="F7" s="0" t="inlineStr">
        <is>
          <t>3/6，盛煜015C，2000w，净价100, 国泰海通 樊文娟2885347044 to 中建投信托 臻泉2号</t>
        </is>
      </c>
      <c r="I7" s="184" t="inlineStr">
        <is>
          <t>AA+</t>
        </is>
      </c>
      <c r="M7" s="1" t="n"/>
    </row>
    <row r="8">
      <c r="A8" s="110" t="n">
        <v>46090</v>
      </c>
      <c r="B8" s="112" t="inlineStr">
        <is>
          <t>鑫驰4B</t>
        </is>
      </c>
      <c r="C8" s="112" t="n"/>
      <c r="D8" s="112" t="n">
        <v>1000</v>
      </c>
      <c r="E8" s="572">
        <f>+E7+C8-D8</f>
        <v/>
      </c>
      <c r="F8" s="0" t="inlineStr">
        <is>
          <t>3/9,鑫驰4B，500492, 1000w一级缴款，利率3.15%， 中建投信托 臻泉2号，3-10起息</t>
        </is>
      </c>
      <c r="M8" s="1" t="n"/>
    </row>
    <row r="9">
      <c r="A9" s="110" t="n">
        <v>46094</v>
      </c>
      <c r="B9" s="112" t="inlineStr">
        <is>
          <t>25鑫驰1B</t>
        </is>
      </c>
      <c r="C9" s="112" t="n"/>
      <c r="D9" s="112" t="n">
        <v>693</v>
      </c>
      <c r="E9" s="572">
        <f>+E8+C9-D9</f>
        <v/>
      </c>
      <c r="F9" s="0" t="inlineStr">
        <is>
          <t>680w份额3/13,25鑫驰1B[146026.SZ]，680w，净价101.5，厦门信托 李丹萍 3003775644+华宝投顾马路遥3007680164 to 中建投信托 臻泉2号李思韵 3003354775。</t>
        </is>
      </c>
      <c r="M9" s="1" t="n"/>
    </row>
    <row r="10">
      <c r="A10" s="112" t="n"/>
      <c r="B10" s="112" t="n"/>
      <c r="C10" s="112" t="n"/>
      <c r="D10" s="112" t="n"/>
      <c r="E10" s="572">
        <f>+E9+C10-D10</f>
        <v/>
      </c>
    </row>
    <row r="11">
      <c r="A11" s="110" t="n">
        <v>46100</v>
      </c>
      <c r="B11" s="112" t="inlineStr">
        <is>
          <t>新增申购</t>
        </is>
      </c>
      <c r="C11" s="112" t="n">
        <v>2900</v>
      </c>
      <c r="D11" s="112" t="n"/>
      <c r="E11" s="572">
        <f>+E10+C11-D11</f>
        <v/>
      </c>
      <c r="H11" s="0" t="inlineStr">
        <is>
          <t>锁定期</t>
        </is>
      </c>
      <c r="I11" s="318" t="inlineStr">
        <is>
          <t>硬锁6个月+软锁12个月</t>
        </is>
      </c>
    </row>
    <row r="12">
      <c r="A12" s="110" t="n">
        <v>46105</v>
      </c>
      <c r="B12" s="112" t="inlineStr">
        <is>
          <t>23惠民3B</t>
        </is>
      </c>
      <c r="C12" s="112" t="n"/>
      <c r="D12" s="112" t="n">
        <v>609.3</v>
      </c>
      <c r="E12" s="572">
        <f>+E11+C12-D12</f>
        <v/>
      </c>
      <c r="F12" s="0" t="inlineStr">
        <is>
          <t>3/24，23惠民3B，143845.SZ，600w，净价100.2，国泰海通 to 中建投信托 臻泉2号李思韵 3003354775</t>
        </is>
      </c>
      <c r="I12" s="318" t="inlineStr">
        <is>
          <t>每份信托单位的封闭期为该份单位成立日（即T日，含该日）起6个月</t>
        </is>
      </c>
    </row>
    <row r="13">
      <c r="A13" s="110" t="n">
        <v>46106</v>
      </c>
      <c r="B13" s="112" t="inlineStr">
        <is>
          <t>6美意2次</t>
        </is>
      </c>
      <c r="C13" s="112" t="n"/>
      <c r="D13" s="112">
        <f>1000*104.719%</f>
        <v/>
      </c>
      <c r="E13" s="572">
        <f>+E12+C13-D13</f>
        <v/>
      </c>
      <c r="F13" s="0" t="inlineStr">
        <is>
          <t>3/25，6美意2次，265347.SH，990w，净价/全价 104.719，粤开证券 许逸潇2881647849 to 中建投信托 臻泉2号李思韵 3003354775</t>
        </is>
      </c>
      <c r="I13" s="319" t="inlineStr">
        <is>
          <t>持有时间不足12个月的，赎回费率为0.05%。</t>
        </is>
      </c>
      <c r="K13" s="150" t="n"/>
      <c r="L13" s="1" t="n"/>
      <c r="M13" s="1" t="n"/>
    </row>
    <row r="14">
      <c r="A14" s="110" t="n">
        <v>46108</v>
      </c>
      <c r="B14" s="112" t="inlineStr">
        <is>
          <t>回款</t>
        </is>
      </c>
      <c r="C14" s="112" t="n">
        <v>94</v>
      </c>
      <c r="D14" s="112" t="n"/>
      <c r="E14" s="572">
        <f>+E13+C14-D14</f>
        <v/>
      </c>
      <c r="F14" s="656" t="n"/>
    </row>
    <row r="15">
      <c r="A15" s="112" t="n"/>
      <c r="B15" s="112" t="n"/>
      <c r="C15" s="112" t="n"/>
      <c r="D15" s="112" t="n"/>
      <c r="E15" s="572">
        <f>+E14+C15-D15</f>
        <v/>
      </c>
      <c r="H15" s="0" t="inlineStr">
        <is>
          <t>申赎频率</t>
        </is>
      </c>
      <c r="I15" s="0" t="inlineStr">
        <is>
          <t>按月开放申购、赎回</t>
        </is>
      </c>
    </row>
    <row r="16">
      <c r="A16" s="112" t="n"/>
      <c r="B16" s="112" t="n"/>
      <c r="C16" s="112" t="n"/>
      <c r="D16" s="112" t="n"/>
      <c r="E16" s="572">
        <f>+E15+C16-D16</f>
        <v/>
      </c>
      <c r="H16" s="0" t="inlineStr">
        <is>
          <t>开放日</t>
        </is>
      </c>
      <c r="I16" s="0" t="inlineStr">
        <is>
          <t>定期申购开放日为信托计划存续期内每个自然月的第三个周四（如遇非交易日则顺延至下一个交易日）</t>
        </is>
      </c>
      <c r="K16" s="150" t="n"/>
    </row>
    <row r="17">
      <c r="A17" s="110" t="n">
        <v>46113</v>
      </c>
      <c r="B17" s="112" t="inlineStr">
        <is>
          <t>熠然03A3</t>
        </is>
      </c>
      <c r="C17" s="112" t="n"/>
      <c r="D17" s="112">
        <f>(4.4%*91.84*(46113-46097+1)/365+92.077)*1100/100</f>
        <v/>
      </c>
      <c r="E17" s="572">
        <f>+E16+C17-D17</f>
        <v/>
      </c>
      <c r="F17" s="0" t="inlineStr">
        <is>
          <t>4/1，熠然03A3，144938.SZ，1100w，净价92.077,  中信证券3004076439 to 中建投信托 臻泉2号 李思韵 3003354775</t>
        </is>
      </c>
      <c r="H17" s="0" t="inlineStr">
        <is>
          <t>赎回日</t>
        </is>
      </c>
      <c r="I17" s="0" t="inlineStr">
        <is>
          <t>定期赎回开放日指该份信托单位的封闭期届满之日后的每自然月度最后一个交易日</t>
        </is>
      </c>
    </row>
    <row r="18">
      <c r="A18" s="112" t="n"/>
      <c r="B18" s="172" t="n"/>
      <c r="C18" s="172" t="n"/>
      <c r="D18" s="172" t="n"/>
      <c r="E18" s="572">
        <f>+E17+C18-D18</f>
        <v/>
      </c>
      <c r="H18" s="0" t="inlineStr">
        <is>
          <t>赎回预约</t>
        </is>
      </c>
      <c r="I18" s="0" t="inlineStr">
        <is>
          <t>提前20个工作日</t>
        </is>
      </c>
    </row>
    <row r="19">
      <c r="A19" s="110" t="n">
        <v>46127</v>
      </c>
      <c r="B19" s="112" t="inlineStr">
        <is>
          <t>熠然03A3兑付</t>
        </is>
      </c>
      <c r="C19" s="112" t="n">
        <v>111</v>
      </c>
      <c r="D19" s="112" t="n"/>
      <c r="E19" s="572">
        <f>+E18+C19-D19</f>
        <v/>
      </c>
    </row>
    <row r="20">
      <c r="A20" s="110" t="n">
        <v>46128</v>
      </c>
      <c r="B20" s="112" t="inlineStr">
        <is>
          <t>申购</t>
        </is>
      </c>
      <c r="C20" s="112" t="n">
        <v>6930</v>
      </c>
      <c r="D20" s="112" t="n"/>
      <c r="E20" s="572">
        <f>+E19+C20-D20</f>
        <v/>
      </c>
      <c r="H20" s="456" t="inlineStr">
        <is>
          <t>信托报酬</t>
        </is>
      </c>
      <c r="I20" s="457" t="n">
        <v>0.003</v>
      </c>
    </row>
    <row r="21">
      <c r="A21" s="110" t="n">
        <v>46128</v>
      </c>
      <c r="B21" s="112" t="inlineStr">
        <is>
          <t>税费+业绩报酬</t>
        </is>
      </c>
      <c r="C21" s="112" t="n"/>
      <c r="D21" s="112" t="n">
        <v>2</v>
      </c>
      <c r="E21" s="572">
        <f>+E20+C21-D21</f>
        <v/>
      </c>
      <c r="H21" s="456" t="inlineStr">
        <is>
          <t>投顾费</t>
        </is>
      </c>
      <c r="I21" s="457" t="n">
        <v>0.002</v>
      </c>
    </row>
    <row r="22">
      <c r="A22" s="110" t="n">
        <v>46129</v>
      </c>
      <c r="B22" s="112" t="inlineStr">
        <is>
          <t>小鹏5次</t>
        </is>
      </c>
      <c r="C22" s="112" t="n"/>
      <c r="D22" s="112" t="n">
        <v>506</v>
      </c>
      <c r="E22" s="572">
        <f>+E21+C22-D22</f>
        <v/>
      </c>
      <c r="F22" s="562" t="inlineStr">
        <is>
          <t>小鹏5次[500447.SZ]，500w，101.24，4月17日，天风证券 李泽堃3007354220  to 中建投信托 臻泉2号 李思韵 3003354775</t>
        </is>
      </c>
      <c r="H22" s="456" t="inlineStr">
        <is>
          <t>业绩基准</t>
        </is>
      </c>
      <c r="I22" s="456" t="inlineStr">
        <is>
          <t>3个月2.8%，6个月3%</t>
        </is>
      </c>
      <c r="J22" s="456" t="n"/>
    </row>
    <row r="23">
      <c r="A23" s="110" t="n">
        <v>46129</v>
      </c>
      <c r="B23" s="112" t="inlineStr">
        <is>
          <t>小鹏5B</t>
        </is>
      </c>
      <c r="C23" s="112" t="n"/>
      <c r="D23" s="112" t="n">
        <v>507</v>
      </c>
      <c r="E23" s="572">
        <f>+E22+C23-D23</f>
        <v/>
      </c>
      <c r="F23" s="562" t="inlineStr">
        <is>
          <t>小鹏5B[500446.SZ]，500w，101.475，4月17日，天风证券 李泽堃3007354220  to 中建投信托 臻泉2号 李思韵 3003354775</t>
        </is>
      </c>
      <c r="H23" s="0" t="inlineStr">
        <is>
          <t>carry</t>
        </is>
      </c>
      <c r="I23" s="0" t="inlineStr">
        <is>
          <t>30%，其中18%归投顾</t>
        </is>
      </c>
    </row>
    <row r="24">
      <c r="A24" s="110" t="n"/>
      <c r="B24" s="112" t="n"/>
      <c r="C24" s="112" t="n"/>
      <c r="D24" s="112" t="n"/>
      <c r="E24" s="572">
        <f>+E23+C24-D24</f>
        <v/>
      </c>
      <c r="I24" s="0">
        <f>SUM(I26:I37)</f>
        <v/>
      </c>
      <c r="J24" s="0">
        <f>SUMPRODUCT(J26:J37,I26:I37)</f>
        <v/>
      </c>
    </row>
    <row r="25">
      <c r="A25" s="112" t="n"/>
      <c r="B25" s="112" t="n"/>
      <c r="C25" s="112" t="n"/>
      <c r="D25" s="112" t="n"/>
      <c r="E25" s="572">
        <f>+E24+C25-D25</f>
        <v/>
      </c>
      <c r="I25" s="0" t="inlineStr">
        <is>
          <t>加权收益率</t>
        </is>
      </c>
      <c r="J25" s="575">
        <f>J24/C4</f>
        <v/>
      </c>
    </row>
    <row r="26">
      <c r="A26" s="112" t="n"/>
      <c r="B26" s="112" t="n"/>
      <c r="C26" s="112" t="n"/>
      <c r="D26" s="112" t="n"/>
      <c r="E26" s="572">
        <f>+E25+C26-D26</f>
        <v/>
      </c>
      <c r="H26" s="562" t="inlineStr">
        <is>
          <t>5美意3次</t>
        </is>
      </c>
      <c r="I26" s="562" t="n">
        <v>1958.866</v>
      </c>
      <c r="J26" s="447" t="n">
        <v>0.059</v>
      </c>
      <c r="K26" s="562" t="inlineStr">
        <is>
          <t>美团</t>
        </is>
      </c>
    </row>
    <row r="27">
      <c r="A27" s="110" t="n">
        <v>46134</v>
      </c>
      <c r="B27" s="112" t="inlineStr">
        <is>
          <t>360优B</t>
        </is>
      </c>
      <c r="C27" s="112" t="n"/>
      <c r="D27" s="112" t="n">
        <v>1000</v>
      </c>
      <c r="E27" s="572">
        <f>+E26+C27-D27</f>
        <v/>
      </c>
      <c r="F27" s="562" t="inlineStr">
        <is>
          <t>毓消22B，500693.SZ，1000w，2.8%，4月22日缴款，4月23日起息，中建投臻泉2号缴款</t>
        </is>
      </c>
      <c r="H27" s="562" t="inlineStr">
        <is>
          <t>6美意2次</t>
        </is>
      </c>
      <c r="I27" s="562" t="n">
        <v>1050</v>
      </c>
      <c r="J27" s="447" t="n">
        <v>0.055</v>
      </c>
      <c r="K27" s="562" t="inlineStr">
        <is>
          <t>美团</t>
        </is>
      </c>
    </row>
    <row r="28">
      <c r="A28" s="110" t="n">
        <v>46134</v>
      </c>
      <c r="B28" s="112" t="inlineStr">
        <is>
          <t>鑫驰5优B</t>
        </is>
      </c>
      <c r="C28" s="112" t="n"/>
      <c r="D28" s="112" t="n">
        <v>2200</v>
      </c>
      <c r="E28" s="572">
        <f>+E27+C28-D28</f>
        <v/>
      </c>
      <c r="F28" s="562" t="inlineStr">
        <is>
          <t>鑫驰5B，500701.SZ，2200w，3.15%，4-22缴款，4-23起息，中建投臻泉2号</t>
        </is>
      </c>
      <c r="J28" s="150" t="n"/>
      <c r="M28" s="0">
        <f>SUM(I26:I39)</f>
        <v/>
      </c>
      <c r="N28" s="150">
        <f>SUMPRODUCT(J26:J39,I26:I39)/SUM(M28)</f>
        <v/>
      </c>
    </row>
    <row r="29">
      <c r="A29" s="110" t="n">
        <v>46135</v>
      </c>
      <c r="B29" s="112" t="inlineStr">
        <is>
          <t>申购</t>
        </is>
      </c>
      <c r="C29" s="112" t="n">
        <v>4500</v>
      </c>
      <c r="D29" s="112" t="n"/>
      <c r="E29" s="572">
        <f>+E28+C29-D29</f>
        <v/>
      </c>
      <c r="H29" s="0" t="inlineStr">
        <is>
          <t>蔚能A2</t>
        </is>
      </c>
      <c r="I29" s="0" t="n">
        <v>1500</v>
      </c>
      <c r="J29" s="150" t="n">
        <v>0.032</v>
      </c>
      <c r="K29" s="0" t="inlineStr">
        <is>
          <t>蔚能</t>
        </is>
      </c>
    </row>
    <row r="30">
      <c r="A30" s="110" t="n"/>
      <c r="B30" s="112" t="n"/>
      <c r="C30" s="112" t="n"/>
      <c r="D30" s="112" t="n"/>
      <c r="E30" s="572">
        <f>+E29+C30-D30</f>
        <v/>
      </c>
      <c r="H30" s="0" t="inlineStr">
        <is>
          <t>蔚能A3</t>
        </is>
      </c>
      <c r="I30" s="0" t="n">
        <v>1000</v>
      </c>
      <c r="J30" s="150" t="n">
        <v>0.045</v>
      </c>
      <c r="K30" s="0" t="inlineStr">
        <is>
          <t>蔚能</t>
        </is>
      </c>
      <c r="M30" s="0" t="inlineStr">
        <is>
          <t>要求</t>
        </is>
      </c>
      <c r="P30" s="0" t="inlineStr">
        <is>
          <t>缺口</t>
        </is>
      </c>
    </row>
    <row r="31">
      <c r="A31" s="110" t="n">
        <v>46135</v>
      </c>
      <c r="B31" s="112" t="inlineStr">
        <is>
          <t>小鹏5次</t>
        </is>
      </c>
      <c r="C31" s="112" t="n"/>
      <c r="D31" s="112">
        <f>1950*101.068%</f>
        <v/>
      </c>
      <c r="E31" s="572">
        <f>+E30+C31-D31</f>
        <v/>
      </c>
      <c r="F31" s="562" t="inlineStr">
        <is>
          <t>小鹏5次[500447.SZ]，1950w，101.068，4月23日，粤开证券 许逸潇2881647849  to 中建投信托 李思韵 3003354775</t>
        </is>
      </c>
      <c r="H31" s="0" t="inlineStr">
        <is>
          <t>小鹏5次</t>
        </is>
      </c>
      <c r="I31" s="0" t="n">
        <v>800</v>
      </c>
      <c r="J31" s="150" t="n">
        <v>0.065</v>
      </c>
      <c r="K31" s="0" t="inlineStr">
        <is>
          <t>小鹏</t>
        </is>
      </c>
      <c r="L31" s="0" t="inlineStr">
        <is>
          <t>单一债券</t>
        </is>
      </c>
      <c r="M31" s="0">
        <f>M28*20%</f>
        <v/>
      </c>
      <c r="N31" s="0" t="inlineStr">
        <is>
          <t>不超过</t>
        </is>
      </c>
      <c r="O31" s="0" t="inlineStr">
        <is>
          <t>ok</t>
        </is>
      </c>
    </row>
    <row r="32">
      <c r="A32" s="117" t="n">
        <v>46136</v>
      </c>
      <c r="B32" s="172" t="inlineStr">
        <is>
          <t>信保基金</t>
        </is>
      </c>
      <c r="C32" s="172" t="n"/>
      <c r="D32" s="172" t="n">
        <v>86.13</v>
      </c>
      <c r="E32" s="563">
        <f>+E31+C32-D32</f>
        <v/>
      </c>
      <c r="F32" s="577">
        <f>E32+C41+C42</f>
        <v/>
      </c>
      <c r="J32" s="150" t="n"/>
      <c r="L32" s="0" t="inlineStr">
        <is>
          <t>次级占比</t>
        </is>
      </c>
      <c r="M32" s="0">
        <f>M28*30%</f>
        <v/>
      </c>
      <c r="N32" s="0" t="inlineStr">
        <is>
          <t>不超过</t>
        </is>
      </c>
      <c r="O32" s="0">
        <f>I26+I27+I28+I31</f>
        <v/>
      </c>
      <c r="P32" s="0">
        <f>M32-O32</f>
        <v/>
      </c>
    </row>
    <row r="33">
      <c r="A33" s="110" t="n"/>
      <c r="B33" s="112" t="n"/>
      <c r="C33" s="112" t="n"/>
      <c r="D33" s="112" t="n"/>
      <c r="E33" s="572">
        <f>+E32+C33-D33</f>
        <v/>
      </c>
      <c r="H33" s="0" t="inlineStr">
        <is>
          <t>远东</t>
        </is>
      </c>
      <c r="I33" s="0" t="n">
        <v>2000</v>
      </c>
      <c r="J33" s="150" t="n">
        <v>0.03</v>
      </c>
      <c r="K33" s="0" t="inlineStr">
        <is>
          <t>远东</t>
        </is>
      </c>
      <c r="L33" s="0" t="inlineStr">
        <is>
          <t>AA+以上占比</t>
        </is>
      </c>
      <c r="M33" s="0">
        <f>M28*50%</f>
        <v/>
      </c>
      <c r="N33" s="0" t="inlineStr">
        <is>
          <t>不低于</t>
        </is>
      </c>
      <c r="O33" s="0">
        <f>I36+I37+I39+I29+I38+I30+I32+I33</f>
        <v/>
      </c>
      <c r="P33" s="0">
        <f>M33-O33</f>
        <v/>
      </c>
    </row>
    <row r="34">
      <c r="A34" s="110" t="n">
        <v>46139</v>
      </c>
      <c r="B34" s="112" t="inlineStr">
        <is>
          <t>小鹏4次</t>
        </is>
      </c>
      <c r="C34" s="112" t="n"/>
      <c r="D34" s="112" t="n">
        <v>1419.9724</v>
      </c>
      <c r="E34" s="572">
        <f>+E33+C34-D34</f>
        <v/>
      </c>
      <c r="F34" s="562" t="inlineStr">
        <is>
          <t>小鹏4次[146862.SZ]，1400w，101.4266，4月27日，粤开证券 许逸潇2881647849 to 中建投信托 李思韵 3003354775</t>
        </is>
      </c>
      <c r="L34" s="0" t="inlineStr">
        <is>
          <t>单一主体</t>
        </is>
      </c>
      <c r="M34" s="0">
        <f>M28*25%</f>
        <v/>
      </c>
      <c r="N34" s="0" t="inlineStr">
        <is>
          <t>不超过</t>
        </is>
      </c>
      <c r="O34" s="0" t="inlineStr">
        <is>
          <t>ok</t>
        </is>
      </c>
    </row>
    <row r="35">
      <c r="A35" s="110" t="n">
        <v>46139</v>
      </c>
      <c r="B35" s="112" t="inlineStr">
        <is>
          <t>德银03B</t>
        </is>
      </c>
      <c r="C35" s="112" t="n"/>
      <c r="D35" s="112" t="n">
        <v>601.5028767123288</v>
      </c>
      <c r="E35" s="572">
        <f>+E34+C35-D35</f>
        <v/>
      </c>
      <c r="F35" s="562" t="inlineStr">
        <is>
          <t>德银03B[263516.SH]，600w，100.005，4月27日，粤开证券 许逸潇2881647849 to 中建投信托 李思韵 3003354775</t>
        </is>
      </c>
      <c r="H35" s="562" t="inlineStr">
        <is>
          <t>盛煜015C</t>
        </is>
      </c>
      <c r="I35" s="562" t="n">
        <v>2057.008</v>
      </c>
      <c r="J35" s="447" t="n">
        <v>0.036</v>
      </c>
      <c r="K35" s="562" t="inlineStr">
        <is>
          <t>京东</t>
        </is>
      </c>
    </row>
    <row r="36">
      <c r="A36" s="110" t="n">
        <v>46139</v>
      </c>
      <c r="B36" s="112" t="inlineStr">
        <is>
          <t>熠安02A3</t>
        </is>
      </c>
      <c r="C36" s="112" t="n"/>
      <c r="D36" s="112" t="n">
        <v>200.1838126027397</v>
      </c>
      <c r="E36" s="572">
        <f>+E35+C36-D36</f>
        <v/>
      </c>
      <c r="F36" s="562" t="inlineStr">
        <is>
          <t>熠安02A3[144651.SZ]，380w，52.5268，4月27日，粤开证券 许逸潇2881647849 to 中建投信托 李思韵 3003354775</t>
        </is>
      </c>
      <c r="H36" s="562" t="inlineStr">
        <is>
          <t>鑫驰4B</t>
        </is>
      </c>
      <c r="I36" s="562" t="n">
        <v>1000</v>
      </c>
      <c r="J36" s="447" t="n">
        <v>0.0315</v>
      </c>
      <c r="K36" s="562" t="inlineStr">
        <is>
          <t>易鑫</t>
        </is>
      </c>
    </row>
    <row r="37">
      <c r="A37" s="110" t="n"/>
      <c r="B37" s="112" t="n"/>
      <c r="C37" s="112" t="n"/>
      <c r="D37" s="112" t="n"/>
      <c r="E37" s="572">
        <f>+E36+C37-D37</f>
        <v/>
      </c>
      <c r="F37" s="1" t="n"/>
      <c r="H37" s="562" t="inlineStr">
        <is>
          <t>25鑫驰1B</t>
        </is>
      </c>
      <c r="I37" s="562" t="n">
        <v>700</v>
      </c>
      <c r="J37" s="447" t="n">
        <v>0.029</v>
      </c>
      <c r="K37" s="562" t="inlineStr">
        <is>
          <t>易鑫</t>
        </is>
      </c>
    </row>
    <row r="38">
      <c r="A38" s="110" t="n"/>
      <c r="B38" s="112" t="n"/>
      <c r="C38" s="112" t="n"/>
      <c r="D38" s="112" t="n"/>
      <c r="E38" s="572">
        <f>+E37+C38-D38</f>
        <v/>
      </c>
      <c r="F38" s="1" t="n"/>
      <c r="H38" s="562" t="inlineStr">
        <is>
          <t>23惠民3B</t>
        </is>
      </c>
      <c r="I38" s="562" t="n">
        <v>600</v>
      </c>
      <c r="J38" s="447" t="n">
        <v>0.045</v>
      </c>
      <c r="K38" s="562" t="inlineStr">
        <is>
          <t>易鑫</t>
        </is>
      </c>
    </row>
    <row r="39">
      <c r="A39" s="110" t="n"/>
      <c r="B39" s="112" t="n"/>
      <c r="C39" s="112" t="n"/>
      <c r="D39" s="112" t="n"/>
      <c r="E39" s="572">
        <f>+E38+C39-D39</f>
        <v/>
      </c>
      <c r="H39" s="562" t="inlineStr">
        <is>
          <t>熠然03A3</t>
        </is>
      </c>
      <c r="I39" s="562">
        <f>1100-111+D54</f>
        <v/>
      </c>
      <c r="J39" s="447" t="n">
        <v>0.037</v>
      </c>
      <c r="K39" s="562" t="inlineStr">
        <is>
          <t>平安普惠</t>
        </is>
      </c>
    </row>
    <row r="40">
      <c r="A40" s="110" t="n">
        <v>46139</v>
      </c>
      <c r="B40" s="112" t="inlineStr">
        <is>
          <t>25鑫驰1B兑付</t>
        </is>
      </c>
      <c r="C40" s="112" t="n">
        <v>6.37</v>
      </c>
      <c r="D40" s="112" t="n"/>
      <c r="E40" s="572">
        <f>+E39+C40-D40</f>
        <v/>
      </c>
    </row>
    <row r="41">
      <c r="A41" s="110" t="n">
        <v>46139</v>
      </c>
      <c r="B41" s="112" t="inlineStr">
        <is>
          <t>5美意3次兑付</t>
        </is>
      </c>
      <c r="C41" s="112" t="n">
        <v>1976</v>
      </c>
      <c r="D41" s="112" t="n"/>
      <c r="E41" s="572">
        <f>+E40+C41-D41</f>
        <v/>
      </c>
    </row>
    <row r="42">
      <c r="A42" s="110" t="n">
        <v>46139</v>
      </c>
      <c r="B42" s="112" t="inlineStr">
        <is>
          <t>6美意2次兑付</t>
        </is>
      </c>
      <c r="C42" s="112" t="n">
        <v>1052.19</v>
      </c>
      <c r="D42" s="112" t="n"/>
      <c r="E42" s="572">
        <f>+E41+C42-D42</f>
        <v/>
      </c>
      <c r="H42" s="562" t="inlineStr">
        <is>
          <t>小鹏5次</t>
        </is>
      </c>
      <c r="I42" s="562" t="n">
        <v>500</v>
      </c>
      <c r="J42" s="401" t="n">
        <v>0.065</v>
      </c>
      <c r="K42" s="562" t="inlineStr">
        <is>
          <t>小鹏</t>
        </is>
      </c>
    </row>
    <row r="43">
      <c r="A43" s="112" t="n"/>
      <c r="B43" s="112" t="n"/>
      <c r="C43" s="112" t="n"/>
      <c r="D43" s="112" t="n"/>
      <c r="E43" s="572">
        <f>+E42+C43-D43</f>
        <v/>
      </c>
      <c r="H43" s="562" t="inlineStr">
        <is>
          <t>小鹏5B</t>
        </is>
      </c>
      <c r="I43" s="562" t="n">
        <v>500</v>
      </c>
      <c r="J43" s="401" t="n">
        <v>0.0275</v>
      </c>
      <c r="K43" s="562" t="inlineStr">
        <is>
          <t>小鹏</t>
        </is>
      </c>
    </row>
    <row r="44">
      <c r="A44" s="110" t="n"/>
      <c r="B44" s="112" t="n"/>
      <c r="C44" s="112" t="n"/>
      <c r="D44" s="112" t="n"/>
      <c r="E44" s="572">
        <f>+E43+C44-D44</f>
        <v/>
      </c>
      <c r="J44" s="464" t="n"/>
      <c r="M44" s="0" t="inlineStr">
        <is>
          <t>要求</t>
        </is>
      </c>
    </row>
    <row r="45">
      <c r="A45" s="110" t="n"/>
      <c r="B45" s="112" t="n"/>
      <c r="C45" s="112" t="n"/>
      <c r="D45" s="112" t="n"/>
      <c r="E45" s="572">
        <f>+E44+C45-D45</f>
        <v/>
      </c>
      <c r="G45" s="0" t="inlineStr">
        <is>
          <t>一级</t>
        </is>
      </c>
      <c r="H45" s="562" t="inlineStr">
        <is>
          <t>360优B</t>
        </is>
      </c>
      <c r="I45" s="562" t="n">
        <v>1000</v>
      </c>
      <c r="J45" s="447" t="n">
        <v>0.028</v>
      </c>
      <c r="K45" s="562" t="inlineStr">
        <is>
          <t>奇富</t>
        </is>
      </c>
      <c r="L45" s="0" t="inlineStr">
        <is>
          <t>单一债券</t>
        </is>
      </c>
      <c r="M45" s="563">
        <f>M52*20%</f>
        <v/>
      </c>
      <c r="N45" s="0" t="inlineStr">
        <is>
          <t>不超过</t>
        </is>
      </c>
      <c r="O45" s="563">
        <f>+I49</f>
        <v/>
      </c>
    </row>
    <row r="46">
      <c r="A46" s="110" t="n">
        <v>46140</v>
      </c>
      <c r="B46" s="112" t="inlineStr">
        <is>
          <t>玮盈2次</t>
        </is>
      </c>
      <c r="C46" s="112" t="n"/>
      <c r="D46" s="578" t="n">
        <v>272.8446</v>
      </c>
      <c r="E46" s="572">
        <f>+E45+C46-D46</f>
        <v/>
      </c>
      <c r="F46" s="562" t="inlineStr">
        <is>
          <t>玮盈2次[144378.SZ]，600w，45.4741，4月28日，粤开证券 许逸潇2881647849 to 中建投信托 李思韵 3003354775</t>
        </is>
      </c>
      <c r="G46" s="0" t="inlineStr">
        <is>
          <t>一级</t>
        </is>
      </c>
      <c r="H46" s="562" t="inlineStr">
        <is>
          <t>鑫驰5优B</t>
        </is>
      </c>
      <c r="I46" s="562" t="n">
        <v>1200</v>
      </c>
      <c r="J46" s="401" t="n">
        <v>0.03</v>
      </c>
      <c r="K46" s="562" t="inlineStr">
        <is>
          <t>易鑫</t>
        </is>
      </c>
      <c r="L46" s="0" t="inlineStr">
        <is>
          <t>次级占比</t>
        </is>
      </c>
      <c r="M46" s="563">
        <f>M52*30%</f>
        <v/>
      </c>
      <c r="N46" s="0" t="inlineStr">
        <is>
          <t>不超过</t>
        </is>
      </c>
      <c r="O46" s="563">
        <f>+D22+D31+D34+D46+D47+D48+D50-C57+I60+I61+I62+I63</f>
        <v/>
      </c>
    </row>
    <row r="47">
      <c r="A47" s="110" t="n">
        <v>46140</v>
      </c>
      <c r="B47" s="112" t="inlineStr">
        <is>
          <t>玮盈3次</t>
        </is>
      </c>
      <c r="C47" s="112" t="n"/>
      <c r="D47" s="578" t="n">
        <v>271.6</v>
      </c>
      <c r="E47" s="572">
        <f>+E46+C47-D47</f>
        <v/>
      </c>
      <c r="F47" s="562" t="inlineStr">
        <is>
          <t>玮盈3次[144479.SZ]，400w，67.9，4月28日，粤开证券 许逸潇2881647849 to 中建投信托 李思韵 3003354775</t>
        </is>
      </c>
      <c r="G47" s="0" t="inlineStr">
        <is>
          <t>元康28</t>
        </is>
      </c>
      <c r="H47" s="562" t="inlineStr">
        <is>
          <t>小鹏5次</t>
        </is>
      </c>
      <c r="I47" s="562" t="n">
        <v>2300</v>
      </c>
      <c r="J47" s="401" t="n">
        <v>0.065</v>
      </c>
      <c r="K47" s="562" t="inlineStr">
        <is>
          <t>小鹏</t>
        </is>
      </c>
      <c r="L47" s="0" t="inlineStr">
        <is>
          <t>AA+以上占比</t>
        </is>
      </c>
      <c r="M47" s="563">
        <f>M52*50%</f>
        <v/>
      </c>
      <c r="N47" s="0" t="inlineStr">
        <is>
          <t>不低于</t>
        </is>
      </c>
      <c r="O47" s="563">
        <f>+I44+I46+I48+I49+D7+D8+D9+D12+D17+I43+D23+D27+D28+D35+D36+D49+D52</f>
        <v/>
      </c>
    </row>
    <row r="48">
      <c r="A48" s="110" t="n">
        <v>46140</v>
      </c>
      <c r="B48" s="112" t="inlineStr">
        <is>
          <t>小鹏4次</t>
        </is>
      </c>
      <c r="C48" s="112" t="n"/>
      <c r="D48" s="578" t="n">
        <v>131.87486</v>
      </c>
      <c r="E48" s="572">
        <f>+E47+C48-D48</f>
        <v/>
      </c>
      <c r="F48" s="562" t="inlineStr">
        <is>
          <t>小鹏4次[146862.SZ]，130w，101.4422，4月28日，粤开证券 许逸潇2881647849 to 中建投信托 李思韵 3003354775</t>
        </is>
      </c>
      <c r="G48" s="0" t="inlineStr">
        <is>
          <t>一级</t>
        </is>
      </c>
      <c r="H48" s="562" t="inlineStr">
        <is>
          <t>蔚能A2</t>
        </is>
      </c>
      <c r="I48" s="562" t="n"/>
      <c r="J48" s="401" t="n"/>
      <c r="K48" s="562" t="inlineStr">
        <is>
          <t>蔚能</t>
        </is>
      </c>
      <c r="L48" s="0" t="inlineStr">
        <is>
          <t>单一主体（担保）</t>
        </is>
      </c>
      <c r="M48" s="563">
        <f>M52*20%</f>
        <v/>
      </c>
      <c r="N48" s="0" t="inlineStr">
        <is>
          <t>不超过</t>
        </is>
      </c>
      <c r="O48" s="563">
        <f>MAX(M58:M67)</f>
        <v/>
      </c>
    </row>
    <row r="49">
      <c r="A49" s="110" t="n">
        <v>46140</v>
      </c>
      <c r="B49" s="112">
        <f>H56</f>
        <v/>
      </c>
      <c r="C49" s="112" t="n"/>
      <c r="D49" s="578" t="n">
        <v>606.9503506849314</v>
      </c>
      <c r="E49" s="572">
        <f>+E48+C49-D49</f>
        <v/>
      </c>
      <c r="F49" s="562" t="inlineStr">
        <is>
          <t>小鹏4B[146861.SZ]，600w，100.9162，4月28日，粤开证券 许逸潇2881647849 to 中建投信托 李思韵 3003354775</t>
        </is>
      </c>
      <c r="G49" s="0" t="inlineStr">
        <is>
          <t>一级</t>
        </is>
      </c>
      <c r="H49" s="562" t="inlineStr">
        <is>
          <t>蔚能A3</t>
        </is>
      </c>
      <c r="I49" s="562" t="n">
        <v>3500</v>
      </c>
      <c r="J49" s="401" t="n">
        <v>0.038</v>
      </c>
      <c r="K49" s="562" t="inlineStr">
        <is>
          <t>蔚能</t>
        </is>
      </c>
      <c r="L49" s="0" t="inlineStr">
        <is>
          <t>单一主体</t>
        </is>
      </c>
      <c r="M49" s="0">
        <f>+M52*27%</f>
        <v/>
      </c>
      <c r="N49" s="0" t="inlineStr">
        <is>
          <t>不超过</t>
        </is>
      </c>
    </row>
    <row r="50">
      <c r="A50" s="110" t="n">
        <v>46140</v>
      </c>
      <c r="B50" s="112" t="inlineStr">
        <is>
          <t>小鹏5次</t>
        </is>
      </c>
      <c r="C50" s="112" t="n"/>
      <c r="D50" s="578" t="n">
        <v>354.0670000000001</v>
      </c>
      <c r="E50" s="572">
        <f>+E49+C50-D50</f>
        <v/>
      </c>
      <c r="F50" s="562" t="inlineStr">
        <is>
          <t>小鹏5次[500447.SZ]，350w，101.162，4月28日，粤开证券 许逸潇2881647849 to 中建投信托 李思韵 3003354775</t>
        </is>
      </c>
      <c r="G50" s="0" t="inlineStr">
        <is>
          <t> </t>
        </is>
      </c>
      <c r="H50" s="562" t="n"/>
      <c r="I50" s="562" t="n"/>
      <c r="J50" s="447" t="n"/>
      <c r="K50" s="562" t="n"/>
    </row>
    <row r="51">
      <c r="A51" s="112" t="n"/>
      <c r="B51" s="112" t="n"/>
      <c r="C51" s="112" t="n"/>
      <c r="D51" s="112" t="n"/>
      <c r="E51" s="572">
        <f>+E50+C51-D51</f>
        <v/>
      </c>
      <c r="G51" s="0" t="inlineStr">
        <is>
          <t>外贸-元康1号</t>
        </is>
      </c>
      <c r="H51" s="562" t="inlineStr">
        <is>
          <t>小鹏4次</t>
        </is>
      </c>
      <c r="I51" s="562" t="n">
        <v>1400</v>
      </c>
      <c r="J51" s="401" t="n">
        <v>0.065</v>
      </c>
      <c r="K51" s="562" t="inlineStr">
        <is>
          <t>小鹏</t>
        </is>
      </c>
    </row>
    <row r="52">
      <c r="A52" s="110" t="n">
        <v>46141</v>
      </c>
      <c r="B52" s="112" t="inlineStr">
        <is>
          <t>蔚能A3</t>
        </is>
      </c>
      <c r="C52" s="112" t="n"/>
      <c r="D52" s="112" t="n">
        <v>3500</v>
      </c>
      <c r="E52" s="572">
        <f>+E51+C52-D52</f>
        <v/>
      </c>
      <c r="G52" s="0" t="inlineStr">
        <is>
          <t>外贸-元康1号</t>
        </is>
      </c>
      <c r="H52" s="562" t="inlineStr">
        <is>
          <t>玮盈2次</t>
        </is>
      </c>
      <c r="I52" s="562" t="n">
        <v>350</v>
      </c>
      <c r="J52" s="401" t="n">
        <v>0.07000000000000001</v>
      </c>
      <c r="K52" s="562" t="inlineStr">
        <is>
          <t>金城</t>
        </is>
      </c>
      <c r="L52" s="0" t="inlineStr">
        <is>
          <t>总规模</t>
        </is>
      </c>
      <c r="M52" s="0">
        <f>20050+C62</f>
        <v/>
      </c>
    </row>
    <row r="53">
      <c r="A53" s="112" t="n"/>
      <c r="B53" s="112" t="n"/>
      <c r="C53" s="112" t="n"/>
      <c r="D53" s="112" t="n"/>
      <c r="E53" s="572">
        <f>+E52+C53-D53</f>
        <v/>
      </c>
      <c r="G53" s="0" t="inlineStr">
        <is>
          <t>外贸-元康1号</t>
        </is>
      </c>
      <c r="H53" s="562" t="inlineStr">
        <is>
          <t>玮盈3次</t>
        </is>
      </c>
      <c r="I53" s="562" t="n">
        <v>360</v>
      </c>
      <c r="J53" s="401" t="n">
        <v>0.07000000000000001</v>
      </c>
      <c r="K53" s="562" t="inlineStr">
        <is>
          <t>金城</t>
        </is>
      </c>
      <c r="L53" s="0" t="inlineStr">
        <is>
          <t>加权平均利率</t>
        </is>
      </c>
      <c r="M53" s="464">
        <f>SUMPRODUCT(I35:I67,J35:J67)/SUM(I35:I67)</f>
        <v/>
      </c>
    </row>
    <row r="54">
      <c r="A54" s="110" t="n">
        <v>46142</v>
      </c>
      <c r="B54" s="112" t="inlineStr">
        <is>
          <t>熠然03A3</t>
        </is>
      </c>
      <c r="C54" s="112" t="n"/>
      <c r="D54" s="112" t="n">
        <v>948.5346821917807</v>
      </c>
      <c r="E54" s="572">
        <f>+E53+C54-D54</f>
        <v/>
      </c>
      <c r="F54" s="562" t="inlineStr">
        <is>
          <t>熠然03A3[144938.SZ]，1150w，82.2884，4月30日，粤开证券 许逸潇2881647849 to 中建投信托 李思韵 3003354775</t>
        </is>
      </c>
      <c r="G54" s="0" t="inlineStr">
        <is>
          <t>元康26</t>
        </is>
      </c>
      <c r="H54" s="562" t="inlineStr">
        <is>
          <t>德银03B</t>
        </is>
      </c>
      <c r="I54" s="562" t="n">
        <v>600</v>
      </c>
      <c r="J54" s="447" t="n">
        <v>0.032</v>
      </c>
      <c r="K54" s="562" t="inlineStr">
        <is>
          <t>德银</t>
        </is>
      </c>
    </row>
    <row r="55">
      <c r="A55" s="110" t="n">
        <v>46142</v>
      </c>
      <c r="B55" s="112" t="inlineStr">
        <is>
          <t>美歆6C</t>
        </is>
      </c>
      <c r="C55" s="112" t="n"/>
      <c r="D55" s="576" t="n">
        <v>305.214</v>
      </c>
      <c r="E55" s="572">
        <f>+E54+C55-D55</f>
        <v/>
      </c>
      <c r="F55" s="562" t="inlineStr">
        <is>
          <t>美歆6C[267135.SH]，300w，101.738，4月30日，粤开证券 许逸潇2881647849 to 中建投信托 李思韵 3003354775</t>
        </is>
      </c>
      <c r="G55" s="0" t="inlineStr">
        <is>
          <t>元康26</t>
        </is>
      </c>
      <c r="H55" s="562" t="inlineStr">
        <is>
          <t>熠安02A3</t>
        </is>
      </c>
      <c r="I55" s="562" t="n">
        <v>200</v>
      </c>
      <c r="J55" s="447" t="n">
        <v>0.028</v>
      </c>
      <c r="K55" s="562" t="inlineStr">
        <is>
          <t>德银</t>
        </is>
      </c>
    </row>
    <row r="56">
      <c r="A56" s="110" t="n">
        <v>46142</v>
      </c>
      <c r="B56" s="112" t="inlineStr">
        <is>
          <t>德银03B兑付</t>
        </is>
      </c>
      <c r="C56" s="112" t="n">
        <v>1.58</v>
      </c>
      <c r="D56" s="112" t="n"/>
      <c r="E56" s="572">
        <f>+E55+C56-D56</f>
        <v/>
      </c>
      <c r="G56" s="0" t="inlineStr">
        <is>
          <t>元康26</t>
        </is>
      </c>
      <c r="H56" s="562" t="inlineStr">
        <is>
          <t>小鹏4B</t>
        </is>
      </c>
      <c r="I56" s="562" t="n">
        <v>700</v>
      </c>
      <c r="J56" s="447" t="n">
        <v>0.029</v>
      </c>
      <c r="K56" s="562" t="inlineStr">
        <is>
          <t>小鹏</t>
        </is>
      </c>
    </row>
    <row r="57">
      <c r="A57" s="156" t="n">
        <v>46153</v>
      </c>
      <c r="B57" s="112" t="inlineStr">
        <is>
          <t>小鹏4次</t>
        </is>
      </c>
      <c r="C57" s="112">
        <f>15*101.1307%</f>
        <v/>
      </c>
      <c r="D57" s="112" t="n"/>
      <c r="E57" s="572">
        <f>+E56+C57-D57</f>
        <v/>
      </c>
      <c r="F57" s="562" t="inlineStr">
        <is>
          <t>5/11 小鹏4次 146862.SZ 1,500.00  101.1307 【中建投信托 李思韵 3003354775 】 to 【粤开证券 000052  3600004059  001G0005 】</t>
        </is>
      </c>
      <c r="G57" s="0" t="inlineStr">
        <is>
          <t>元康28</t>
        </is>
      </c>
      <c r="H57" s="562" t="inlineStr">
        <is>
          <t>美歆6C</t>
        </is>
      </c>
      <c r="I57" s="562" t="n">
        <v>300</v>
      </c>
      <c r="J57" s="447" t="n">
        <v>0.045</v>
      </c>
      <c r="K57" s="562" t="inlineStr">
        <is>
          <t>美团</t>
        </is>
      </c>
    </row>
    <row r="58">
      <c r="E58" s="563">
        <f>+E57+C58-D58</f>
        <v/>
      </c>
      <c r="L58" s="0" t="inlineStr">
        <is>
          <t>奇富</t>
        </is>
      </c>
      <c r="M58" s="564">
        <f t="array" ref="M58">IFERROR(SUM(_xlfn._xlws.FILTER($I$35:$I$69,$K$35:$K$69=L58)),0)</f>
        <v/>
      </c>
    </row>
    <row r="59">
      <c r="A59" s="117" t="n">
        <v>46157</v>
      </c>
      <c r="B59" s="112" t="inlineStr">
        <is>
          <t>回款</t>
        </is>
      </c>
      <c r="C59" s="0" t="n">
        <v>300</v>
      </c>
      <c r="E59" s="563">
        <f>+E58+C59-D59</f>
        <v/>
      </c>
      <c r="I59" s="563" t="n"/>
      <c r="J59" s="150" t="n"/>
      <c r="L59" s="0" t="inlineStr">
        <is>
          <t>小鹏</t>
        </is>
      </c>
      <c r="M59" s="564">
        <f t="array" ref="M59">IFERROR(SUM(_xlfn._xlws.FILTER($I$35:$I$69,$K$35:$K$69=L59)),0)</f>
        <v/>
      </c>
    </row>
    <row r="60">
      <c r="E60" s="563">
        <f>+E59+C60-D60</f>
        <v/>
      </c>
      <c r="G60" s="0" t="inlineStr">
        <is>
          <t>注意上市时间</t>
        </is>
      </c>
      <c r="H60" s="0" t="inlineStr">
        <is>
          <t>惠鑫壹6C</t>
        </is>
      </c>
      <c r="I60" s="563" t="n">
        <v>1002.2</v>
      </c>
      <c r="J60" s="150" t="n">
        <v>0.047</v>
      </c>
      <c r="K60" s="0" t="inlineStr">
        <is>
          <t>美团</t>
        </is>
      </c>
      <c r="L60" s="0" t="inlineStr">
        <is>
          <t>金城</t>
        </is>
      </c>
      <c r="M60" s="564">
        <f t="array" ref="M60">IFERROR(SUM(_xlfn._xlws.FILTER($I$35:$I$69,$K$35:$K$69=L60)),0)</f>
        <v/>
      </c>
    </row>
    <row r="61">
      <c r="E61" s="563">
        <f>+E60+C61-D61</f>
        <v/>
      </c>
      <c r="H61" s="0" t="inlineStr">
        <is>
          <t>美歆6C</t>
        </is>
      </c>
      <c r="I61" s="563" t="n">
        <v>50.9</v>
      </c>
      <c r="J61" s="150" t="n">
        <v>0.048</v>
      </c>
      <c r="K61" s="0" t="inlineStr">
        <is>
          <t>美团</t>
        </is>
      </c>
      <c r="L61" s="0" t="inlineStr">
        <is>
          <t>远东</t>
        </is>
      </c>
      <c r="M61" s="564">
        <f t="array" ref="M61">IFERROR(SUM(_xlfn._xlws.FILTER($I$35:$I$69,$K$35:$K$69=L61)),0)</f>
        <v/>
      </c>
    </row>
    <row r="62">
      <c r="A62" s="117" t="n">
        <v>46163</v>
      </c>
      <c r="B62" s="112" t="inlineStr">
        <is>
          <t>申购</t>
        </is>
      </c>
      <c r="C62" s="0" t="n">
        <v>5000</v>
      </c>
      <c r="E62" s="563">
        <f>+E61+C62-D62</f>
        <v/>
      </c>
      <c r="H62" s="0" t="inlineStr">
        <is>
          <t>锦盛1次</t>
        </is>
      </c>
      <c r="I62" s="563" t="n">
        <v>1040</v>
      </c>
      <c r="J62" s="150" t="n">
        <v>0.057</v>
      </c>
      <c r="K62" s="0" t="inlineStr">
        <is>
          <t>新网</t>
        </is>
      </c>
      <c r="L62" s="0" t="inlineStr">
        <is>
          <t>蔚能</t>
        </is>
      </c>
      <c r="M62" s="564">
        <f t="array" ref="M62">IFERROR(SUM(_xlfn._xlws.FILTER($I$35:$I$69,$K$35:$K$69=L62)),0)</f>
        <v/>
      </c>
    </row>
    <row r="63">
      <c r="B63" s="565" t="n"/>
      <c r="C63" s="564" t="n"/>
      <c r="D63" s="564" t="n"/>
      <c r="E63" s="563">
        <f>+E62+C63-D63</f>
        <v/>
      </c>
      <c r="H63" s="0" t="inlineStr">
        <is>
          <t>DY03优3</t>
        </is>
      </c>
      <c r="I63" s="563" t="n">
        <v>1813.968493150685</v>
      </c>
      <c r="J63" s="150" t="n">
        <v>0.036</v>
      </c>
      <c r="K63" s="0" t="inlineStr">
        <is>
          <t>平安普惠</t>
        </is>
      </c>
      <c r="L63" s="0" t="inlineStr">
        <is>
          <t>易鑫</t>
        </is>
      </c>
      <c r="M63" s="564">
        <f t="array" ref="M63">IFERROR(SUM(_xlfn._xlws.FILTER($I$35:$I$69,$K$35:$K$69=L63)),0)</f>
        <v/>
      </c>
    </row>
    <row r="64">
      <c r="A64" s="117" t="n">
        <v>46167</v>
      </c>
      <c r="E64" s="563">
        <f>+E63+C64-D64</f>
        <v/>
      </c>
      <c r="H64" s="0" t="inlineStr">
        <is>
          <t>DY01优3</t>
        </is>
      </c>
      <c r="I64" s="563" t="n">
        <v>1211.242191780822</v>
      </c>
      <c r="J64" s="464" t="n">
        <v>0.036</v>
      </c>
      <c r="K64" s="0" t="inlineStr">
        <is>
          <t>平安普惠</t>
        </is>
      </c>
      <c r="L64" s="0" t="inlineStr">
        <is>
          <t>美团</t>
        </is>
      </c>
      <c r="M64" s="564">
        <f t="array" ref="M64">IFERROR(SUM(_xlfn._xlws.FILTER($I$35:$I$69,$K$35:$K$69=L64)),0)</f>
        <v/>
      </c>
    </row>
    <row r="65">
      <c r="E65" s="563">
        <f>+E64+C65-D65</f>
        <v/>
      </c>
      <c r="I65" s="563" t="n"/>
      <c r="J65" s="464" t="n"/>
      <c r="L65" s="0" t="inlineStr">
        <is>
          <t>京东</t>
        </is>
      </c>
      <c r="M65" s="564">
        <f t="array" ref="M65">IFERROR(SUM(_xlfn._xlws.FILTER($I$35:$I$69,$K$35:$K$69=L65)),0)</f>
        <v/>
      </c>
    </row>
    <row r="66">
      <c r="E66" s="563">
        <f>+E65+C66-D66</f>
        <v/>
      </c>
      <c r="I66" s="563" t="n"/>
      <c r="J66" s="464" t="n"/>
      <c r="L66" s="0" t="inlineStr">
        <is>
          <t>平安普惠</t>
        </is>
      </c>
      <c r="M66" s="564">
        <f t="array" ref="M66">IFERROR(SUM(_xlfn._xlws.FILTER($I$35:$I$69,$K$35:$K$69=L66)),0)</f>
        <v/>
      </c>
    </row>
    <row r="67">
      <c r="E67" s="563">
        <f>+E66+C67-D67</f>
        <v/>
      </c>
      <c r="J67" s="464" t="n"/>
      <c r="L67" s="0" t="inlineStr">
        <is>
          <t>德银</t>
        </is>
      </c>
      <c r="M67" s="564">
        <f t="array" ref="M67">IFERROR(SUM(_xlfn._xlws.FILTER($I$35:$I$69,$K$35:$K$69=L67)),0)</f>
        <v/>
      </c>
    </row>
    <row r="68">
      <c r="E68" s="563">
        <f>+E67+C68-D68</f>
        <v/>
      </c>
      <c r="L68" s="0" t="inlineStr">
        <is>
          <t>财付通</t>
        </is>
      </c>
      <c r="M68" s="564">
        <f t="array" ref="M68">IFERROR(SUM(_xlfn._xlws.FILTER($I$35:$I$69,$K$35:$K$69=L68)),0)</f>
        <v/>
      </c>
    </row>
    <row r="69">
      <c r="E69" s="563">
        <f>+E68+C69-D69</f>
        <v/>
      </c>
      <c r="L69" s="0" t="inlineStr">
        <is>
          <t>新网</t>
        </is>
      </c>
      <c r="M69" s="564">
        <f t="array" ref="M69">IFERROR(SUM(_xlfn._xlws.FILTER($I$35:$I$69,$K$35:$K$69=L69)),0)</f>
        <v/>
      </c>
    </row>
    <row r="70">
      <c r="E70" s="563">
        <f>+E69+C70-D70</f>
        <v/>
      </c>
      <c r="O70" s="146" t="n">
        <v>0.02</v>
      </c>
      <c r="P70" s="146" t="n">
        <v>0.2</v>
      </c>
      <c r="Q70" s="117" t="n"/>
    </row>
    <row r="71">
      <c r="E71" s="563">
        <f>+E70+C71-D71</f>
        <v/>
      </c>
      <c r="I71" s="673">
        <f>SUM(I59:I70)</f>
        <v/>
      </c>
      <c r="M71" s="597">
        <f>SUM(M58:M70)</f>
        <v/>
      </c>
      <c r="O71" s="146" t="n">
        <v>0.03</v>
      </c>
      <c r="P71" s="146" t="n">
        <v>0.4</v>
      </c>
      <c r="Q71" s="117" t="n"/>
    </row>
    <row r="72">
      <c r="E72" s="563">
        <f>+E71+C72-D72</f>
        <v/>
      </c>
      <c r="J72" s="664" t="n"/>
      <c r="O72" s="146" t="n">
        <v>0.05</v>
      </c>
      <c r="P72" s="146" t="n">
        <v>0.4</v>
      </c>
      <c r="Q72" s="117" t="n"/>
    </row>
    <row r="73">
      <c r="E73" s="563">
        <f>+E72+C73-D73</f>
        <v/>
      </c>
      <c r="P73" s="0">
        <f>SUMPRODUCT(P70:P72,O70:O72)</f>
        <v/>
      </c>
      <c r="Q73" s="117" t="n"/>
    </row>
    <row r="74">
      <c r="E74" s="563">
        <f>+E73+C74-D74</f>
        <v/>
      </c>
      <c r="Q74" s="117" t="n"/>
    </row>
    <row r="75">
      <c r="B75" s="565" t="inlineStr">
        <is>
          <t>远东</t>
        </is>
      </c>
      <c r="C75" s="564" t="n"/>
      <c r="D75" s="564" t="n">
        <v>2000</v>
      </c>
      <c r="E75" s="563">
        <f>+E74+C75-D75</f>
        <v/>
      </c>
      <c r="Q75" s="117" t="n"/>
    </row>
    <row r="76">
      <c r="E76" s="563">
        <f>+E75+C76-D76</f>
        <v/>
      </c>
      <c r="Q76" s="117" t="n"/>
    </row>
    <row r="77">
      <c r="E77" s="563">
        <f>+E76+C77-D77</f>
        <v/>
      </c>
      <c r="Q77" s="117" t="n"/>
    </row>
    <row r="78">
      <c r="Q78" s="117" t="n"/>
    </row>
    <row r="81">
      <c r="H81" s="276" t="inlineStr">
        <is>
          <t>证券简称</t>
        </is>
      </c>
      <c r="I81" s="276" t="inlineStr">
        <is>
          <t>代码</t>
        </is>
      </c>
      <c r="J81" s="276" t="inlineStr">
        <is>
          <t>票面利率</t>
        </is>
      </c>
      <c r="K81" s="276" t="inlineStr">
        <is>
          <t>份额（万份）</t>
        </is>
      </c>
      <c r="L81" s="276" t="inlineStr">
        <is>
          <t>交易日期</t>
        </is>
      </c>
      <c r="M81" s="276" t="inlineStr">
        <is>
          <t>净价</t>
        </is>
      </c>
      <c r="N81" s="276" t="inlineStr">
        <is>
          <t>全价</t>
        </is>
      </c>
      <c r="O81" s="276" t="inlineStr">
        <is>
          <t>金额（万元）</t>
        </is>
      </c>
      <c r="P81" s="276" t="inlineStr">
        <is>
          <t>中债估值</t>
        </is>
      </c>
      <c r="Q81" s="276" t="inlineStr">
        <is>
          <t>后手收益率</t>
        </is>
      </c>
      <c r="R81" s="276" t="inlineStr">
        <is>
          <t>上一计息日</t>
        </is>
      </c>
      <c r="S81" s="276" t="inlineStr">
        <is>
          <t>起息日</t>
        </is>
      </c>
      <c r="T81" s="276" t="inlineStr">
        <is>
          <t>应计利息</t>
        </is>
      </c>
      <c r="U81" s="276" t="inlineStr">
        <is>
          <t>期间兑付</t>
        </is>
      </c>
      <c r="V81" s="276" t="inlineStr">
        <is>
          <t>预期到期日</t>
        </is>
      </c>
      <c r="Z81" s="518" t="inlineStr">
        <is>
          <t>小鹏5次</t>
        </is>
      </c>
      <c r="AA81" s="519" t="n"/>
      <c r="AB81" s="520" t="n"/>
      <c r="AD81" s="0" t="inlineStr">
        <is>
          <t>小鹏4次</t>
        </is>
      </c>
      <c r="AE81" s="575">
        <f>XIRR(AE82:AE84,AD82:AD84)</f>
        <v/>
      </c>
      <c r="AF81" s="596" t="n"/>
      <c r="AH81" s="0" t="n">
        <v>101.4677</v>
      </c>
    </row>
    <row r="82">
      <c r="F82" s="0" t="inlineStr">
        <is>
          <t>粤开证券</t>
        </is>
      </c>
      <c r="G82" s="0" t="inlineStr">
        <is>
          <t>外贸-元康1号</t>
        </is>
      </c>
      <c r="H82" s="0" t="inlineStr">
        <is>
          <t>小鹏4次</t>
        </is>
      </c>
      <c r="I82" s="0" t="inlineStr">
        <is>
          <t>146862.SZ</t>
        </is>
      </c>
      <c r="J82" s="150" t="n">
        <v>0.068</v>
      </c>
      <c r="K82" s="0" t="n">
        <v>1400</v>
      </c>
      <c r="L82" s="1" t="n">
        <v>46139</v>
      </c>
      <c r="M82" s="586">
        <f>ROUND(100*(1+J82*(L82-S82)/365)-U82,4)+0.003</f>
        <v/>
      </c>
      <c r="N82" s="0">
        <f>+M82+T82</f>
        <v/>
      </c>
      <c r="O82" s="564">
        <f>+N82*K82/100</f>
        <v/>
      </c>
      <c r="P82" s="0" t="n">
        <v>101.3183</v>
      </c>
      <c r="R82" s="1" t="n">
        <v>46176</v>
      </c>
      <c r="S82" s="1" t="n">
        <v>45917</v>
      </c>
      <c r="T82" s="586" t="n">
        <v>0</v>
      </c>
      <c r="U82" s="0" t="n">
        <v>2.712328297</v>
      </c>
      <c r="W82" s="0">
        <f>H82&amp;"["&amp;I82&amp;"]，"&amp;K82&amp;"w，"&amp;M82&amp;"，"&amp;TEXT(L82,"m月d日")&amp;"，"&amp;"粤开证券"&amp;" to "&amp;"中建投"</f>
        <v/>
      </c>
      <c r="Z82" s="521" t="inlineStr">
        <is>
          <t>起息日</t>
        </is>
      </c>
      <c r="AA82" s="117" t="n">
        <v>46066</v>
      </c>
      <c r="AB82" s="522" t="n"/>
      <c r="AD82" s="117" t="n">
        <v>46140</v>
      </c>
      <c r="AE82" s="674">
        <f>-M88</f>
        <v/>
      </c>
      <c r="AH82" s="0">
        <f>+AH81-0.4658</f>
        <v/>
      </c>
    </row>
    <row r="83">
      <c r="F83" s="0" t="inlineStr">
        <is>
          <t>粤开证券</t>
        </is>
      </c>
      <c r="G83" s="0" t="inlineStr">
        <is>
          <t>元康26</t>
        </is>
      </c>
      <c r="H83" s="0" t="inlineStr">
        <is>
          <t>德银03B</t>
        </is>
      </c>
      <c r="I83" s="0" t="inlineStr">
        <is>
          <t>263516.SH</t>
        </is>
      </c>
      <c r="J83" s="150" t="n">
        <v>0.032</v>
      </c>
      <c r="K83" s="0" t="n">
        <v>600</v>
      </c>
      <c r="L83" s="1" t="n">
        <v>46139</v>
      </c>
      <c r="M83" s="586" t="n">
        <v>100.005</v>
      </c>
      <c r="N83" s="0">
        <f>+M83+T83</f>
        <v/>
      </c>
      <c r="O83" s="564">
        <f>+N83*K83/100</f>
        <v/>
      </c>
      <c r="P83" s="0" t="n">
        <v>100.1911</v>
      </c>
      <c r="R83" s="1" t="n">
        <v>46112</v>
      </c>
      <c r="S83" s="1" t="n">
        <v>45609</v>
      </c>
      <c r="T83" s="586">
        <f>+J83*(L83-R83+1)/365*100</f>
        <v/>
      </c>
      <c r="W83" s="0">
        <f>H83&amp;"["&amp;I83&amp;"]，"&amp;K83&amp;"w，"&amp;M83&amp;"，"&amp;TEXT(L83,"m月d日")&amp;"，"&amp;"粤开证券"&amp;" to "&amp;"中建投"</f>
        <v/>
      </c>
      <c r="Z83" s="521" t="inlineStr">
        <is>
          <t>约定收益率</t>
        </is>
      </c>
      <c r="AA83" s="150" t="n">
        <v>0.068</v>
      </c>
      <c r="AB83" s="522" t="n"/>
      <c r="AD83" s="117" t="n">
        <v>46149</v>
      </c>
      <c r="AE83" s="564" t="n">
        <v>0.4658</v>
      </c>
      <c r="AH83" s="0">
        <f>+AH82+6.8*11/365</f>
        <v/>
      </c>
    </row>
    <row r="84">
      <c r="F84" s="0" t="inlineStr">
        <is>
          <t>粤开证券</t>
        </is>
      </c>
      <c r="G84" s="0" t="inlineStr">
        <is>
          <t>元康26</t>
        </is>
      </c>
      <c r="H84" s="0" t="inlineStr">
        <is>
          <t>熠安02A3</t>
        </is>
      </c>
      <c r="I84" s="0" t="inlineStr">
        <is>
          <t>144651.SZ</t>
        </is>
      </c>
      <c r="J84" s="150" t="n">
        <v>0.043</v>
      </c>
      <c r="K84" s="0" t="n">
        <v>380</v>
      </c>
      <c r="L84" s="1" t="n">
        <v>46139</v>
      </c>
      <c r="M84" s="586">
        <f>P84+0.004</f>
        <v/>
      </c>
      <c r="N84" s="0">
        <f>+M84+T84</f>
        <v/>
      </c>
      <c r="O84" s="564">
        <f>+N84*K84/100</f>
        <v/>
      </c>
      <c r="P84" s="0" t="n">
        <v>52.5228</v>
      </c>
      <c r="R84" s="1" t="n">
        <v>46127</v>
      </c>
      <c r="S84" s="1" t="n">
        <v>45559</v>
      </c>
      <c r="T84" s="586">
        <f>+J84*(L84-R84+1)/365*100</f>
        <v/>
      </c>
      <c r="W84" s="0">
        <f>H84&amp;"["&amp;I84&amp;"]，"&amp;K84&amp;"w，"&amp;M84&amp;"，"&amp;TEXT(L84,"m月d日")&amp;"，"&amp;"粤开证券"&amp;" to "&amp;"中建投"</f>
        <v/>
      </c>
      <c r="Z84" s="521" t="n"/>
      <c r="AB84" s="522" t="n"/>
      <c r="AD84" s="117" t="n">
        <v>46153</v>
      </c>
      <c r="AE84" s="674" t="n">
        <v>101.1307</v>
      </c>
      <c r="AF84" s="573" t="n"/>
      <c r="AH84" s="595">
        <f>+AH83-AE84</f>
        <v/>
      </c>
      <c r="AI84" s="0">
        <f>+AH84*1500</f>
        <v/>
      </c>
      <c r="AJ84" s="675">
        <f>+AI84/200000000</f>
        <v/>
      </c>
    </row>
    <row r="85">
      <c r="M85" s="586" t="n"/>
      <c r="O85" s="597">
        <f>SUM(O82:O84)</f>
        <v/>
      </c>
      <c r="Z85" s="521" t="inlineStr">
        <is>
          <t>交易份额</t>
        </is>
      </c>
      <c r="AA85" s="0" t="n">
        <v>1950</v>
      </c>
      <c r="AB85" s="522" t="n">
        <v>350</v>
      </c>
    </row>
    <row r="86">
      <c r="G86" s="0" t="inlineStr">
        <is>
          <t>外贸-元康1号</t>
        </is>
      </c>
      <c r="H86" s="0" t="inlineStr">
        <is>
          <t>玮盈2次</t>
        </is>
      </c>
      <c r="I86" s="0" t="inlineStr">
        <is>
          <t>144378.SZ</t>
        </is>
      </c>
      <c r="J86" s="150" t="n">
        <v>0.075</v>
      </c>
      <c r="K86" s="0" t="n">
        <v>600</v>
      </c>
      <c r="L86" s="1" t="n">
        <v>46140</v>
      </c>
      <c r="M86" s="0" t="n">
        <v>45.4741</v>
      </c>
      <c r="N86" s="0">
        <f>+M86+T86</f>
        <v/>
      </c>
      <c r="O86" s="564">
        <f>+N86*K86/100</f>
        <v/>
      </c>
      <c r="P86" s="0" t="n">
        <v>45.4741</v>
      </c>
      <c r="Q86" s="150" t="n">
        <v>0.06</v>
      </c>
      <c r="R86" s="1" t="n">
        <v>46134</v>
      </c>
      <c r="S86" s="1" t="n">
        <v>45471</v>
      </c>
      <c r="T86" s="0" t="n">
        <v>0</v>
      </c>
      <c r="W86" s="0">
        <f>H86&amp;"["&amp;I86&amp;"]，"&amp;K86&amp;"w，"&amp;M86&amp;"，"&amp;TEXT(L86,"m月d日")&amp;"，"&amp;"粤开证券 许逸潇2881647849"&amp;" to "&amp;"中建投信托 李思韵 3003354775"</f>
        <v/>
      </c>
      <c r="Z86" s="521" t="inlineStr">
        <is>
          <t>4/20估值</t>
        </is>
      </c>
      <c r="AA86" s="0" t="n">
        <v>101.2391</v>
      </c>
      <c r="AB86" s="522" t="n"/>
    </row>
    <row r="87">
      <c r="F87" s="619" t="n"/>
      <c r="G87" s="0" t="inlineStr">
        <is>
          <t>外贸-元康1号</t>
        </is>
      </c>
      <c r="H87" s="0" t="inlineStr">
        <is>
          <t>玮盈3次</t>
        </is>
      </c>
      <c r="I87" s="0" t="inlineStr">
        <is>
          <t>144479.SZ</t>
        </is>
      </c>
      <c r="J87" s="150" t="n">
        <v>0.075</v>
      </c>
      <c r="K87" s="0" t="n">
        <v>400</v>
      </c>
      <c r="L87" s="1" t="n">
        <v>46140</v>
      </c>
      <c r="M87" s="586" t="n">
        <v>67.90000000000001</v>
      </c>
      <c r="N87" s="0">
        <f>+M87+T87</f>
        <v/>
      </c>
      <c r="O87" s="564">
        <f>+N87*K87/100</f>
        <v/>
      </c>
      <c r="P87" s="0" t="n">
        <v>67.7625</v>
      </c>
      <c r="Q87" s="150" t="n">
        <v>0.063</v>
      </c>
      <c r="R87" s="1" t="n">
        <v>46134</v>
      </c>
      <c r="S87" s="1" t="n">
        <v>45504</v>
      </c>
      <c r="T87" s="0" t="n">
        <v>0</v>
      </c>
      <c r="W87" s="0">
        <f>H87&amp;"["&amp;I87&amp;"]，"&amp;K87&amp;"w，"&amp;M87&amp;"，"&amp;TEXT(L87,"m月d日")&amp;"，"&amp;"粤开证券 许逸潇2881647849"&amp;" to "&amp;"中建投信托 李思韵 3003354775"</f>
        <v/>
      </c>
      <c r="Z87" s="521" t="n"/>
      <c r="AB87" s="522" t="n"/>
    </row>
    <row r="88">
      <c r="G88" s="0" t="inlineStr">
        <is>
          <t>外贸-元康1号</t>
        </is>
      </c>
      <c r="H88" s="0" t="inlineStr">
        <is>
          <t>小鹏4次</t>
        </is>
      </c>
      <c r="I88" s="0" t="inlineStr">
        <is>
          <t>146862.SZ</t>
        </is>
      </c>
      <c r="J88" s="150" t="n">
        <v>0.068</v>
      </c>
      <c r="K88" s="0" t="n">
        <v>130</v>
      </c>
      <c r="L88" s="1" t="n">
        <v>46140</v>
      </c>
      <c r="M88" s="586">
        <f>ROUND(100*(1+J88*(L88-S88)/365)-U88,4)</f>
        <v/>
      </c>
      <c r="N88" s="0">
        <f>+M88+T88</f>
        <v/>
      </c>
      <c r="O88" s="564">
        <f>+N88*K88/100</f>
        <v/>
      </c>
      <c r="P88" s="0" t="n">
        <v>101.3183</v>
      </c>
      <c r="Q88" s="150" t="n">
        <v>0.068</v>
      </c>
      <c r="R88" s="1" t="n">
        <v>46176</v>
      </c>
      <c r="S88" s="1" t="n">
        <v>45917</v>
      </c>
      <c r="T88" s="0" t="n">
        <v>0</v>
      </c>
      <c r="U88" s="0" t="n">
        <v>2.712328297</v>
      </c>
      <c r="W88" s="0">
        <f>H88&amp;"["&amp;I88&amp;"]，"&amp;K88&amp;"w，"&amp;M88&amp;"，"&amp;TEXT(L88,"m月d日")&amp;"，"&amp;"粤开证券 许逸潇2881647849"&amp;" to "&amp;"中建投信托 李思韵 3003354775"</f>
        <v/>
      </c>
      <c r="Z88" s="521" t="inlineStr">
        <is>
          <t>交易日期</t>
        </is>
      </c>
      <c r="AA88" s="117" t="n">
        <v>46135</v>
      </c>
      <c r="AB88" s="523" t="n">
        <v>46140</v>
      </c>
    </row>
    <row r="89">
      <c r="G89" s="0" t="inlineStr">
        <is>
          <t>元康26</t>
        </is>
      </c>
      <c r="H89" s="0" t="inlineStr">
        <is>
          <t>小鹏4B</t>
        </is>
      </c>
      <c r="I89" s="0" t="inlineStr">
        <is>
          <t>146861.SZ</t>
        </is>
      </c>
      <c r="J89" s="150" t="n">
        <v>0.034</v>
      </c>
      <c r="K89" s="0" t="n">
        <v>600</v>
      </c>
      <c r="L89" s="1" t="n">
        <v>46140</v>
      </c>
      <c r="M89" s="586">
        <f>+P89</f>
        <v/>
      </c>
      <c r="N89" s="0">
        <f>+M89+T89</f>
        <v/>
      </c>
      <c r="O89" s="564">
        <f>+N89*K89/100</f>
        <v/>
      </c>
      <c r="P89" s="0" t="n">
        <v>100.9162</v>
      </c>
      <c r="Q89" s="150" t="n">
        <v>0.029</v>
      </c>
      <c r="R89" s="1" t="n">
        <v>46115</v>
      </c>
      <c r="S89" s="1" t="n">
        <v>45917</v>
      </c>
      <c r="T89" s="0">
        <f>+J89*(L89-R89+1)/365*100</f>
        <v/>
      </c>
      <c r="W89" s="0">
        <f>H89&amp;"["&amp;I89&amp;"]，"&amp;K89&amp;"w，"&amp;M89&amp;"，"&amp;TEXT(L89,"m月d日")&amp;"，"&amp;"粤开证券 许逸潇2881647849"&amp;" to "&amp;"中建投信托 李思韵 3003354775"</f>
        <v/>
      </c>
      <c r="Z89" s="521" t="inlineStr">
        <is>
          <t>平价交易价格</t>
        </is>
      </c>
      <c r="AA89" s="579">
        <f>100*(1+AA83*(AA88-AA82)/365)</f>
        <v/>
      </c>
      <c r="AB89" s="676">
        <f>100*(1+AA83*(AB88-AA82)/365)</f>
        <v/>
      </c>
    </row>
    <row r="90">
      <c r="G90" s="0" t="inlineStr">
        <is>
          <t>元康28</t>
        </is>
      </c>
      <c r="H90" s="0" t="inlineStr">
        <is>
          <t>小鹏5次</t>
        </is>
      </c>
      <c r="I90" s="0" t="inlineStr">
        <is>
          <t>500447.SZ</t>
        </is>
      </c>
      <c r="J90" s="150" t="n">
        <v>0.068</v>
      </c>
      <c r="K90" s="0" t="n">
        <v>350</v>
      </c>
      <c r="L90" s="1" t="n">
        <v>46140</v>
      </c>
      <c r="M90" s="586" t="n">
        <v>101.162</v>
      </c>
      <c r="N90" s="0">
        <f>+M90+T90</f>
        <v/>
      </c>
      <c r="O90" s="564">
        <f>+N90*K90/100</f>
        <v/>
      </c>
      <c r="P90" s="0" t="n">
        <v>101.3172</v>
      </c>
      <c r="Q90" s="150" t="n">
        <v>0.068</v>
      </c>
      <c r="R90" s="1" t="n">
        <v>46066</v>
      </c>
      <c r="S90" s="1" t="n">
        <v>46066</v>
      </c>
      <c r="T90" s="0" t="n">
        <v>0</v>
      </c>
      <c r="W90" s="0">
        <f>H90&amp;"["&amp;I90&amp;"]，"&amp;K90&amp;"w，"&amp;M90&amp;"，"&amp;TEXT(L90,"m月d日")&amp;"，"&amp;"粤开证券 许逸潇2881647849"&amp;" to "&amp;"中建投信托 李思韵 3003354775"</f>
        <v/>
      </c>
      <c r="Z90" s="521" t="inlineStr">
        <is>
          <t>平价交易金额</t>
        </is>
      </c>
      <c r="AA90" s="564">
        <f>+AA89*AA85/100</f>
        <v/>
      </c>
      <c r="AB90" s="522">
        <f>+AB89*AB85/100</f>
        <v/>
      </c>
    </row>
    <row r="91">
      <c r="O91" s="597">
        <f>SUM(O86:O90)</f>
        <v/>
      </c>
      <c r="Z91" s="521" t="inlineStr">
        <is>
          <t>补差价</t>
        </is>
      </c>
      <c r="AA91" s="585">
        <f>+AA90-AA92</f>
        <v/>
      </c>
      <c r="AB91" s="677">
        <f>5-AA91</f>
        <v/>
      </c>
    </row>
    <row r="92">
      <c r="G92" s="0" t="inlineStr">
        <is>
          <t>元康28</t>
        </is>
      </c>
      <c r="H92" s="0" t="inlineStr">
        <is>
          <t>熠然03A3</t>
        </is>
      </c>
      <c r="I92" s="0" t="inlineStr">
        <is>
          <t>144938.SZ</t>
        </is>
      </c>
      <c r="J92" s="150" t="n">
        <v>0.044</v>
      </c>
      <c r="K92" s="0" t="n">
        <v>1150</v>
      </c>
      <c r="L92" s="1" t="n">
        <v>46142</v>
      </c>
      <c r="M92" s="586">
        <f>+P92+0.002</f>
        <v/>
      </c>
      <c r="N92" s="0">
        <f>+M92+T92</f>
        <v/>
      </c>
      <c r="O92" s="564">
        <f>+N92*K92/100</f>
        <v/>
      </c>
      <c r="P92" s="0" t="n">
        <v>82.2864</v>
      </c>
      <c r="Q92" s="150" t="n">
        <v>0.036</v>
      </c>
      <c r="R92" s="1" t="n">
        <v>46127</v>
      </c>
      <c r="S92" s="1" t="n">
        <v>45645</v>
      </c>
      <c r="T92" s="0">
        <f>+J92*(L92-R92+1)/365*100</f>
        <v/>
      </c>
      <c r="W92" s="0">
        <f>H92&amp;"["&amp;I92&amp;"]，"&amp;K92&amp;"w，"&amp;M92&amp;"，"&amp;TEXT(L92,"m月d日")&amp;"，"&amp;"粤开证券 许逸潇2881647849"&amp;" to "&amp;"中建投信托 李思韵 3003354775"</f>
        <v/>
      </c>
      <c r="Z92" s="521" t="inlineStr">
        <is>
          <t>调整交易金额</t>
        </is>
      </c>
      <c r="AA92" s="564">
        <f>AA93*AA85/100</f>
        <v/>
      </c>
      <c r="AB92" s="678">
        <f>+AB90-AB91</f>
        <v/>
      </c>
    </row>
    <row r="93">
      <c r="G93" s="0" t="inlineStr">
        <is>
          <t>元康28</t>
        </is>
      </c>
      <c r="H93" s="0" t="inlineStr">
        <is>
          <t>美歆6C</t>
        </is>
      </c>
      <c r="I93" s="0" t="inlineStr">
        <is>
          <t>267135.SH</t>
        </is>
      </c>
      <c r="J93" s="150" t="n">
        <v>0.048</v>
      </c>
      <c r="K93" s="0" t="n">
        <v>300</v>
      </c>
      <c r="L93" s="1" t="n">
        <v>46142</v>
      </c>
      <c r="M93" s="0">
        <f>ROUND(100*(1+J93*(L93-R93)/365),3)+0.002</f>
        <v/>
      </c>
      <c r="N93" s="0">
        <f>+M93+T93</f>
        <v/>
      </c>
      <c r="O93" s="564">
        <f>+N93*K93/100</f>
        <v/>
      </c>
      <c r="P93" s="0" t="n">
        <v>101.6384</v>
      </c>
      <c r="R93" s="1" t="n">
        <v>46010</v>
      </c>
      <c r="S93" s="1" t="n">
        <v>46010</v>
      </c>
      <c r="T93" s="0" t="n">
        <v>0</v>
      </c>
      <c r="W93" s="0">
        <f>H93&amp;"["&amp;I93&amp;"]，"&amp;K93&amp;"w，"&amp;M93&amp;"，"&amp;TEXT(L93,"m月d日")&amp;"，"&amp;"粤开证券 许逸潇2881647849"&amp;" to "&amp;"中建投信托 李思韵 3003354775"</f>
        <v/>
      </c>
      <c r="Z93" s="521" t="inlineStr">
        <is>
          <t>调整交易价格</t>
        </is>
      </c>
      <c r="AA93" s="579">
        <f>+AA97</f>
        <v/>
      </c>
      <c r="AB93" s="522">
        <f>ROUND(+AB92/AB85*100,3)</f>
        <v/>
      </c>
    </row>
    <row r="94">
      <c r="O94" s="597">
        <f>SUM(O92:O93)</f>
        <v/>
      </c>
      <c r="Z94" s="521" t="n"/>
      <c r="AB94" s="522" t="n"/>
    </row>
    <row r="95">
      <c r="Z95" s="521" t="n"/>
      <c r="AA95" s="464">
        <f>XIRR(AA96:AA97,Z96:Z97)</f>
        <v/>
      </c>
      <c r="AB95" s="528">
        <f>XIRR(AB96:AB98,Z96:Z98)</f>
        <v/>
      </c>
    </row>
    <row r="96">
      <c r="H96" s="276" t="inlineStr">
        <is>
          <t>证券简称</t>
        </is>
      </c>
      <c r="I96" s="276" t="inlineStr">
        <is>
          <t>代码</t>
        </is>
      </c>
      <c r="J96" s="276" t="inlineStr">
        <is>
          <t>票面利率</t>
        </is>
      </c>
      <c r="K96" s="276" t="inlineStr">
        <is>
          <t>份额（万份）</t>
        </is>
      </c>
      <c r="L96" s="276" t="inlineStr">
        <is>
          <t>交易日期</t>
        </is>
      </c>
      <c r="M96" s="276" t="inlineStr">
        <is>
          <t>净价</t>
        </is>
      </c>
      <c r="N96" s="276" t="inlineStr">
        <is>
          <t>全价</t>
        </is>
      </c>
      <c r="O96" s="276" t="inlineStr">
        <is>
          <t>金额（万元）</t>
        </is>
      </c>
      <c r="P96" s="276" t="inlineStr">
        <is>
          <t>中债估值</t>
        </is>
      </c>
      <c r="Q96" s="276" t="inlineStr">
        <is>
          <t>后手收益率</t>
        </is>
      </c>
      <c r="R96" s="276" t="inlineStr">
        <is>
          <t>上一计息日</t>
        </is>
      </c>
      <c r="S96" s="276" t="inlineStr">
        <is>
          <t>起息日</t>
        </is>
      </c>
      <c r="T96" s="276" t="inlineStr">
        <is>
          <t>应计利息</t>
        </is>
      </c>
      <c r="U96" s="276" t="inlineStr">
        <is>
          <t>期间兑付</t>
        </is>
      </c>
      <c r="V96" s="276" t="inlineStr">
        <is>
          <t>预期到期日</t>
        </is>
      </c>
      <c r="Z96" s="529" t="n"/>
      <c r="AB96" s="522" t="n"/>
    </row>
    <row r="97">
      <c r="H97" s="0" t="inlineStr">
        <is>
          <t>惠鑫壹6C</t>
        </is>
      </c>
      <c r="I97" s="0" t="inlineStr">
        <is>
          <t>268307.SH</t>
        </is>
      </c>
      <c r="J97" s="150" t="n">
        <v>0.047</v>
      </c>
      <c r="K97" s="0" t="n">
        <v>1000</v>
      </c>
      <c r="L97" s="1" t="n">
        <v>46167</v>
      </c>
      <c r="M97" s="0">
        <f>ROUND(100*(1+J97*(L97-R97)/365),3)+0.003</f>
        <v/>
      </c>
      <c r="N97" s="0">
        <f>+M97+T97</f>
        <v/>
      </c>
      <c r="O97" s="564">
        <f>+N97*K97/100</f>
        <v/>
      </c>
      <c r="Q97" s="464" t="n">
        <v>0.047</v>
      </c>
      <c r="R97" s="1" t="n">
        <v>46133</v>
      </c>
      <c r="S97" s="1" t="n">
        <v>46133</v>
      </c>
      <c r="T97" s="0" t="n">
        <v>0</v>
      </c>
      <c r="W97" s="0">
        <f>H97&amp;"["&amp;I97&amp;"]，"&amp;K97&amp;"w，"&amp;M97&amp;"，"&amp;TEXT(L97,"m月d日")&amp;"，"&amp;"粤开证券 许逸潇2881647849"&amp;" to "&amp;"中建投信托 李思韵 3003354775"</f>
        <v/>
      </c>
      <c r="Z97" s="529" t="n">
        <v>46135</v>
      </c>
      <c r="AA97" s="595" t="n">
        <v>101.068</v>
      </c>
      <c r="AB97" s="679" t="n"/>
    </row>
    <row r="98">
      <c r="H98" s="0" t="inlineStr">
        <is>
          <t>美歆6C</t>
        </is>
      </c>
      <c r="I98" s="0" t="inlineStr">
        <is>
          <t>267135.SH</t>
        </is>
      </c>
      <c r="J98" s="150" t="n">
        <v>0.048</v>
      </c>
      <c r="K98" s="0" t="n">
        <v>50</v>
      </c>
      <c r="L98" s="1" t="n">
        <v>46167</v>
      </c>
      <c r="M98" s="0">
        <f>ROUND(100*(1+J98*(L98-R98)/365),3)+0.003</f>
        <v/>
      </c>
      <c r="N98" s="0">
        <f>+M98+T98</f>
        <v/>
      </c>
      <c r="O98" s="564">
        <f>+N98*K98/100</f>
        <v/>
      </c>
      <c r="Q98" s="464" t="n">
        <v>0.048</v>
      </c>
      <c r="R98" s="1" t="n">
        <v>46010</v>
      </c>
      <c r="S98" s="1" t="n">
        <v>46010</v>
      </c>
      <c r="T98" s="0" t="n">
        <v>0</v>
      </c>
      <c r="W98" s="0">
        <f>H98&amp;"["&amp;I98&amp;"]，"&amp;K98&amp;"w，"&amp;M98&amp;"，"&amp;TEXT(L98,"m月d日")&amp;"，"&amp;"粤开证券 许逸潇2881647849"&amp;" to "&amp;"中建投信托 李思韵 3003354775"</f>
        <v/>
      </c>
      <c r="Z98" s="529" t="n"/>
      <c r="AA98" s="595" t="n"/>
      <c r="AB98" s="679" t="n"/>
    </row>
    <row r="99">
      <c r="H99" s="0" t="inlineStr">
        <is>
          <t>锦盛1次</t>
        </is>
      </c>
      <c r="I99" s="0" t="inlineStr">
        <is>
          <t>266097.SH</t>
        </is>
      </c>
      <c r="J99" s="150" t="n">
        <v>0.057</v>
      </c>
      <c r="K99" s="0" t="n">
        <v>1000</v>
      </c>
      <c r="L99" s="1" t="n">
        <v>46167</v>
      </c>
      <c r="M99" s="0">
        <f>ROUND(100*(1+J99*(L99-R99)/365),3)+0.003</f>
        <v/>
      </c>
      <c r="N99" s="0">
        <f>+M99+T99</f>
        <v/>
      </c>
      <c r="O99" s="564">
        <f>+N99*K99/100</f>
        <v/>
      </c>
      <c r="Q99" s="464" t="n">
        <v>0.057</v>
      </c>
      <c r="R99" s="1" t="n">
        <v>45890</v>
      </c>
      <c r="S99" s="1" t="n">
        <v>45890</v>
      </c>
      <c r="T99" s="0" t="n">
        <v>0</v>
      </c>
      <c r="W99" s="0">
        <f>H99&amp;"["&amp;I99&amp;"]，"&amp;K99&amp;"w，"&amp;M99&amp;"，"&amp;TEXT(L99,"m月d日")&amp;"，"&amp;"粤开证券 许逸潇2881647849"&amp;" to "&amp;"中建投信托 李思韵 3003354775"</f>
        <v/>
      </c>
    </row>
    <row r="100">
      <c r="H100" s="0" t="inlineStr">
        <is>
          <t>DY03优3</t>
        </is>
      </c>
      <c r="I100" s="0" t="inlineStr">
        <is>
          <t>266192.SH</t>
        </is>
      </c>
      <c r="J100" s="150" t="n">
        <v>0.039</v>
      </c>
      <c r="K100" s="0" t="n">
        <v>1800</v>
      </c>
      <c r="L100" s="1" t="n">
        <v>46167</v>
      </c>
      <c r="M100" s="0">
        <f>+P100+0.003</f>
        <v/>
      </c>
      <c r="N100" s="0">
        <f>+M100+T100</f>
        <v/>
      </c>
      <c r="O100" s="564">
        <f>+N100*K100/100</f>
        <v/>
      </c>
      <c r="P100" s="0" t="n">
        <v>100.396</v>
      </c>
      <c r="Q100" s="464" t="n">
        <v>0.036</v>
      </c>
      <c r="R100" s="1" t="n">
        <v>46127</v>
      </c>
      <c r="S100" s="1" t="n">
        <v>45891</v>
      </c>
      <c r="T100" s="586">
        <f>+J100*(L100-R100+1)/365*100</f>
        <v/>
      </c>
      <c r="W100" s="0">
        <f>H100&amp;"["&amp;I100&amp;"]，"&amp;K100&amp;"w，"&amp;M100&amp;"，"&amp;TEXT(L100,"m月d日")&amp;"，"&amp;"粤开证券 许逸潇2881647849"&amp;" to "&amp;"中建投信托 李思韵 3003354775"</f>
        <v/>
      </c>
    </row>
    <row r="101">
      <c r="H101" s="0" t="inlineStr">
        <is>
          <t>奇消22B</t>
        </is>
      </c>
      <c r="I101" s="0" t="inlineStr">
        <is>
          <t>500577.SZ</t>
        </is>
      </c>
      <c r="J101" s="150" t="n">
        <v>0.028</v>
      </c>
      <c r="K101" s="0" t="n">
        <v>1200</v>
      </c>
      <c r="L101" s="1" t="n">
        <v>46167</v>
      </c>
      <c r="M101" s="0" t="n">
        <v>100.003</v>
      </c>
      <c r="N101" s="0">
        <f>+M101+T101</f>
        <v/>
      </c>
      <c r="O101" s="564">
        <f>+N101*K101/100</f>
        <v/>
      </c>
      <c r="P101" s="0" t="n">
        <v>100.119</v>
      </c>
      <c r="Q101" s="464" t="n">
        <v>0.028</v>
      </c>
      <c r="R101" s="1" t="n">
        <v>46112</v>
      </c>
      <c r="S101" s="1" t="n">
        <v>46112</v>
      </c>
      <c r="T101" s="586">
        <f>+J101*(L101-R101+1)/365*100</f>
        <v/>
      </c>
      <c r="W101" s="0">
        <f>H101&amp;"["&amp;I101&amp;"]，"&amp;K101&amp;"w，"&amp;M101&amp;"，"&amp;TEXT(L101,"m月d日")&amp;"，"&amp;"粤开证券 许逸潇2881647849"&amp;" to "&amp;"中建投信托 李思韵 3003354775"</f>
        <v/>
      </c>
    </row>
    <row r="102">
      <c r="J102" s="464" t="n"/>
      <c r="O102" s="597">
        <f>SUM(O97:O101)</f>
        <v/>
      </c>
      <c r="Q102" s="464" t="n"/>
    </row>
    <row r="103">
      <c r="Q103" s="464" t="n"/>
    </row>
    <row r="104">
      <c r="Q104" s="464" t="n"/>
    </row>
    <row r="105">
      <c r="M105" s="0" t="n">
        <v>25000</v>
      </c>
      <c r="Q105" s="464" t="n"/>
    </row>
    <row r="106">
      <c r="M106" s="0">
        <f>+M105*0.2</f>
        <v/>
      </c>
    </row>
    <row r="110">
      <c r="J110" s="0">
        <f>9.7%*2250</f>
        <v/>
      </c>
      <c r="K110" s="0">
        <f>1900-J110-J111</f>
        <v/>
      </c>
      <c r="L110" s="0">
        <f>1900-250</f>
        <v/>
      </c>
      <c r="M110" s="0">
        <f>+M106-L110</f>
        <v/>
      </c>
    </row>
    <row r="111">
      <c r="J111" s="0">
        <f>7.82%*380</f>
        <v/>
      </c>
      <c r="K111" s="0">
        <f>+M106-K110</f>
        <v/>
      </c>
    </row>
  </sheetData>
  <conditionalFormatting sqref="E1:E1048576">
    <cfRule type="cellIs" priority="1" operator="lessThan" dxfId="0">
      <formula>0</formula>
    </cfRule>
  </conditionalFormatting>
  <conditionalFormatting sqref="H38">
    <cfRule type="duplicateValues" priority="38" dxfId="0"/>
    <cfRule type="duplicateValues" priority="39" dxfId="0"/>
    <cfRule type="duplicateValues" priority="40" dxfId="0"/>
  </conditionalFormatting>
  <pageMargins left="0.7" right="0.7" top="0.75" bottom="0.75" header="0.3" footer="0.3"/>
  <pageSetup orientation="portrait" paperSize="9"/>
  <drawing xmlns:r="http://schemas.openxmlformats.org/officeDocument/2006/relationships" r:id="rId1"/>
</worksheet>
</file>

<file path=xl/worksheets/sheet24.xml><?xml version="1.0" encoding="utf-8"?>
<worksheet xmlns="http://schemas.openxmlformats.org/spreadsheetml/2006/main">
  <sheetPr codeName="Sheet8">
    <tabColor theme="4" tint="0.7999816888943144"/>
    <outlinePr summaryBelow="1" summaryRight="1"/>
    <pageSetUpPr/>
  </sheetPr>
  <dimension ref="A1:X269"/>
  <sheetViews>
    <sheetView zoomScale="106" zoomScaleNormal="106" workbookViewId="0">
      <selection activeCell="J113" sqref="J113"/>
    </sheetView>
  </sheetViews>
  <sheetFormatPr baseColWidth="8" defaultColWidth="8.5" defaultRowHeight="16.5"/>
  <cols>
    <col width="4.625" customWidth="1" style="15" min="1" max="1"/>
    <col width="19.5" customWidth="1" style="15" min="2" max="2"/>
    <col width="10.5" customWidth="1" style="15" min="3" max="3"/>
    <col width="11.125" customWidth="1" style="15" min="4" max="4"/>
    <col width="9.625" customWidth="1" style="15" min="5" max="5"/>
    <col width="14" customWidth="1" style="15" min="6" max="6"/>
    <col width="10.25" customWidth="1" style="15" min="7" max="7"/>
    <col width="11.625" customWidth="1" style="15" min="8" max="8"/>
    <col width="11.75" customWidth="1" style="15" min="9" max="9"/>
    <col width="10.25" customWidth="1" style="15" min="10" max="10"/>
    <col width="12.25" customWidth="1" style="15" min="11" max="12"/>
    <col width="12.625" customWidth="1" style="15" min="13" max="13"/>
    <col width="14.625" customWidth="1" style="15" min="14" max="14"/>
    <col width="10.5" customWidth="1" style="15" min="15" max="15"/>
    <col width="12.125" customWidth="1" style="15" min="16" max="16"/>
    <col width="12.375" customWidth="1" style="15" min="17" max="18"/>
    <col width="11.75" customWidth="1" style="15" min="19" max="19"/>
    <col width="8.625" customWidth="1" style="15" min="20" max="21"/>
    <col width="12" customWidth="1" style="15" min="22" max="22"/>
    <col width="11" bestFit="1" customWidth="1" style="15" min="23" max="23"/>
    <col width="8.5" customWidth="1" style="15" min="24" max="16384"/>
  </cols>
  <sheetData>
    <row r="1">
      <c r="A1" s="11" t="n"/>
      <c r="B1" s="12" t="inlineStr">
        <is>
          <t>证券名称</t>
        </is>
      </c>
      <c r="C1" s="12" t="inlineStr">
        <is>
          <t>合作方</t>
        </is>
      </c>
      <c r="D1" s="12" t="inlineStr">
        <is>
          <t>券收益率</t>
        </is>
      </c>
      <c r="E1" s="12" t="inlineStr">
        <is>
          <t>成本</t>
        </is>
      </c>
      <c r="F1" s="12" t="inlineStr">
        <is>
          <t>合作方买入时间</t>
        </is>
      </c>
      <c r="G1" s="12" t="inlineStr">
        <is>
          <t>买入规模</t>
        </is>
      </c>
      <c r="H1" s="12" t="inlineStr">
        <is>
          <t>净价</t>
        </is>
      </c>
      <c r="I1" s="12" t="inlineStr">
        <is>
          <t>全价</t>
        </is>
      </c>
      <c r="J1" s="13" t="inlineStr">
        <is>
          <t>剩余规模</t>
        </is>
      </c>
      <c r="K1" s="14" t="inlineStr">
        <is>
          <t>计划</t>
        </is>
      </c>
      <c r="L1" s="14" t="inlineStr">
        <is>
          <t>时间</t>
        </is>
      </c>
      <c r="M1" s="14" t="inlineStr">
        <is>
          <t>可买入</t>
        </is>
      </c>
      <c r="N1" s="11" t="inlineStr">
        <is>
          <t>实际买入</t>
        </is>
      </c>
      <c r="O1" s="11" t="inlineStr">
        <is>
          <t>买入价格</t>
        </is>
      </c>
      <c r="P1" s="11" t="inlineStr">
        <is>
          <t>时间</t>
        </is>
      </c>
      <c r="Q1" s="11" t="inlineStr">
        <is>
          <t>前手期间盈利（含期间分配）</t>
        </is>
      </c>
      <c r="R1" s="11" t="n"/>
      <c r="S1" s="11" t="inlineStr">
        <is>
          <t>前手持有期xirr</t>
        </is>
      </c>
    </row>
    <row r="2" hidden="1" ht="17.25" customHeight="1" s="326">
      <c r="B2" s="16" t="inlineStr">
        <is>
          <t>焜皓8A3</t>
        </is>
      </c>
      <c r="C2" s="17" t="inlineStr">
        <is>
          <t>国泰君安</t>
        </is>
      </c>
      <c r="D2" s="18" t="n">
        <v>0.044</v>
      </c>
      <c r="E2" s="19" t="inlineStr">
        <is>
          <t>平价</t>
        </is>
      </c>
      <c r="F2" s="17" t="n">
        <v>45531</v>
      </c>
      <c r="G2" s="680" t="n">
        <v>900</v>
      </c>
      <c r="H2" s="21" t="n">
        <v>100</v>
      </c>
      <c r="I2" s="681" t="n"/>
      <c r="J2" s="682" t="n">
        <v>0</v>
      </c>
      <c r="K2" s="24" t="n"/>
      <c r="L2" s="24" t="n"/>
      <c r="M2" s="24" t="n"/>
      <c r="Q2" s="683" t="n"/>
      <c r="R2" s="683" t="n"/>
    </row>
    <row r="3" hidden="1" ht="17.25" customHeight="1" s="326">
      <c r="B3" s="16" t="inlineStr">
        <is>
          <t>荟臻032C</t>
        </is>
      </c>
      <c r="C3" s="17" t="inlineStr">
        <is>
          <t>国泰君安</t>
        </is>
      </c>
      <c r="D3" s="18" t="n">
        <v>0.05</v>
      </c>
      <c r="E3" s="19" t="inlineStr">
        <is>
          <t>4.9%xirr</t>
        </is>
      </c>
      <c r="F3" s="17" t="n">
        <v>45547</v>
      </c>
      <c r="G3" s="680">
        <f>8550-3800</f>
        <v/>
      </c>
      <c r="H3" s="21" t="inlineStr">
        <is>
          <t>-</t>
        </is>
      </c>
      <c r="I3" s="681" t="n">
        <v>127.829</v>
      </c>
      <c r="J3" s="682" t="n">
        <v>0</v>
      </c>
      <c r="K3" s="24" t="inlineStr">
        <is>
          <t>元康28</t>
        </is>
      </c>
      <c r="L3" s="24" t="n"/>
      <c r="M3" s="24" t="inlineStr">
        <is>
          <t>元康28、外贸1、元康20</t>
        </is>
      </c>
      <c r="N3" s="15" t="n">
        <v>1400</v>
      </c>
      <c r="O3" s="15" t="n">
        <v>130.4</v>
      </c>
      <c r="P3" s="26" t="n">
        <v>45699</v>
      </c>
      <c r="Q3" s="683">
        <f>N3*(O3-I3)/100</f>
        <v/>
      </c>
      <c r="R3" s="683" t="n"/>
      <c r="S3" s="27" t="n">
        <v>0.049</v>
      </c>
      <c r="T3" s="15">
        <f>O3*N3/100</f>
        <v/>
      </c>
    </row>
    <row r="4" hidden="1" ht="17.25" customHeight="1" s="326">
      <c r="B4" s="16" t="n"/>
      <c r="C4" s="17" t="n"/>
      <c r="D4" s="18" t="n"/>
      <c r="E4" s="19" t="n"/>
      <c r="F4" s="17" t="n"/>
      <c r="G4" s="680" t="n"/>
      <c r="H4" s="21" t="n"/>
      <c r="I4" s="681" t="n"/>
      <c r="J4" s="682" t="n"/>
      <c r="K4" s="24" t="inlineStr">
        <is>
          <t>元康28</t>
        </is>
      </c>
      <c r="L4" s="24" t="n"/>
      <c r="M4" s="24" t="n"/>
      <c r="N4" s="15" t="n">
        <v>2400</v>
      </c>
      <c r="O4" s="15" t="n">
        <v>130.553</v>
      </c>
      <c r="P4" s="26" t="n">
        <v>45708</v>
      </c>
      <c r="Q4" s="683">
        <f>N4*(O4-I3)/100</f>
        <v/>
      </c>
      <c r="R4" s="683" t="n"/>
      <c r="S4" s="27" t="n">
        <v>0.049</v>
      </c>
      <c r="T4" s="15">
        <f>O4*N4/100</f>
        <v/>
      </c>
    </row>
    <row r="5" hidden="1" ht="17.25" customHeight="1" s="326">
      <c r="B5" s="16" t="n"/>
      <c r="C5" s="17" t="n"/>
      <c r="D5" s="18" t="n"/>
      <c r="E5" s="19" t="n"/>
      <c r="F5" s="17" t="n"/>
      <c r="G5" s="680" t="n"/>
      <c r="H5" s="21" t="n"/>
      <c r="I5" s="681" t="n"/>
      <c r="J5" s="682" t="n"/>
      <c r="K5" s="24" t="inlineStr">
        <is>
          <t>苏信</t>
        </is>
      </c>
      <c r="L5" s="24" t="n"/>
      <c r="M5" s="24" t="inlineStr">
        <is>
          <t>外贸1、元康20</t>
        </is>
      </c>
      <c r="N5" s="15" t="n">
        <v>950</v>
      </c>
      <c r="O5" s="15" t="n">
        <v>131.5889</v>
      </c>
      <c r="P5" s="26" t="n">
        <v>45770</v>
      </c>
      <c r="Q5" s="683">
        <f>N5*(O5-I3)/100</f>
        <v/>
      </c>
      <c r="R5" s="683" t="n"/>
      <c r="S5" s="27" t="n">
        <v>0.049</v>
      </c>
      <c r="T5" s="15">
        <f>O5*N5/100</f>
        <v/>
      </c>
    </row>
    <row r="6" hidden="1" ht="17.25" customHeight="1" s="326">
      <c r="B6" s="16" t="inlineStr">
        <is>
          <t>21建元13C</t>
        </is>
      </c>
      <c r="C6" s="17" t="inlineStr">
        <is>
          <t>中信建投</t>
        </is>
      </c>
      <c r="D6" s="17" t="inlineStr">
        <is>
          <t>6-7%</t>
        </is>
      </c>
      <c r="E6" s="19" t="inlineStr">
        <is>
          <t>4.5%xirr</t>
        </is>
      </c>
      <c r="F6" s="17" t="n">
        <v>45559</v>
      </c>
      <c r="G6" s="680" t="n">
        <v>2500</v>
      </c>
      <c r="H6" s="21" t="inlineStr">
        <is>
          <t>-</t>
        </is>
      </c>
      <c r="I6" s="681" t="n">
        <v>92</v>
      </c>
      <c r="J6" s="682">
        <f>G6-N6</f>
        <v/>
      </c>
      <c r="K6" s="24" t="inlineStr">
        <is>
          <t>元康20</t>
        </is>
      </c>
      <c r="L6" s="24" t="inlineStr">
        <is>
          <t>2月中下旬</t>
        </is>
      </c>
      <c r="M6" s="24" t="inlineStr">
        <is>
          <t>外贸1、元康20</t>
        </is>
      </c>
      <c r="N6" s="15" t="n">
        <v>2500</v>
      </c>
      <c r="O6" s="15" t="n">
        <v>80.16800000000001</v>
      </c>
      <c r="P6" s="26" t="n">
        <v>45709</v>
      </c>
      <c r="Q6" s="683">
        <f>(3.56+2.51+2.36+2.64+2.29+O6-I6)*N6/100</f>
        <v/>
      </c>
      <c r="R6" s="683" t="n"/>
      <c r="S6" s="27" t="n">
        <v>0.045</v>
      </c>
      <c r="T6" s="15">
        <f>O6*N6/100</f>
        <v/>
      </c>
    </row>
    <row r="7" hidden="1" ht="17.25" customHeight="1" s="326">
      <c r="B7" s="16" t="n"/>
      <c r="C7" s="17" t="n"/>
      <c r="D7" s="17" t="n"/>
      <c r="E7" s="19" t="n"/>
      <c r="F7" s="17" t="n"/>
      <c r="G7" s="680" t="n"/>
      <c r="H7" s="21" t="n"/>
      <c r="I7" s="681" t="n"/>
      <c r="J7" s="682" t="n"/>
      <c r="K7" s="24" t="n"/>
      <c r="L7" s="24" t="n"/>
      <c r="M7" s="24" t="n"/>
      <c r="P7" s="26" t="n"/>
      <c r="Q7" s="683" t="n"/>
      <c r="R7" s="683" t="n"/>
      <c r="S7" s="27" t="n"/>
    </row>
    <row r="8" hidden="1" ht="18" customHeight="1" s="326">
      <c r="B8" s="28" t="inlineStr">
        <is>
          <t>23惠民2B</t>
        </is>
      </c>
      <c r="C8" s="17" t="inlineStr">
        <is>
          <t>国泰君安</t>
        </is>
      </c>
      <c r="D8" s="18" t="n">
        <v>0.058</v>
      </c>
      <c r="E8" s="19" t="inlineStr">
        <is>
          <t>平价</t>
        </is>
      </c>
      <c r="F8" s="17" t="n">
        <v>45597</v>
      </c>
      <c r="G8" s="680" t="n">
        <v>2500</v>
      </c>
      <c r="H8" s="21" t="n">
        <v>102.5</v>
      </c>
      <c r="I8" s="681" t="n"/>
      <c r="J8" s="682" t="n">
        <v>0</v>
      </c>
      <c r="K8" s="24" t="inlineStr">
        <is>
          <t>元康28</t>
        </is>
      </c>
      <c r="L8" s="24" t="n"/>
      <c r="M8" s="24" t="inlineStr">
        <is>
          <t>元康26、28、外贸1、元康20</t>
        </is>
      </c>
      <c r="N8" s="15" t="n">
        <v>1500</v>
      </c>
      <c r="O8" s="15" t="n">
        <v>102.5</v>
      </c>
      <c r="P8" s="26" t="n">
        <v>45763</v>
      </c>
      <c r="Q8" s="683" t="n"/>
      <c r="R8" s="683" t="n"/>
      <c r="S8" s="27" t="n">
        <v>0.058</v>
      </c>
    </row>
    <row r="9" hidden="1" ht="17.25" customHeight="1" s="326">
      <c r="B9" s="16" t="n"/>
      <c r="C9" s="17" t="n"/>
      <c r="D9" s="18" t="n"/>
      <c r="E9" s="19" t="n"/>
      <c r="F9" s="17" t="n"/>
      <c r="G9" s="680" t="n"/>
      <c r="H9" s="21" t="n"/>
      <c r="I9" s="681" t="n"/>
      <c r="J9" s="682" t="n"/>
      <c r="K9" s="24" t="inlineStr">
        <is>
          <t>元康20</t>
        </is>
      </c>
      <c r="L9" s="24" t="n"/>
      <c r="M9" s="24" t="n"/>
      <c r="N9" s="15" t="n">
        <v>1000</v>
      </c>
      <c r="O9" s="15" t="n">
        <v>102.5</v>
      </c>
      <c r="P9" s="26" t="n">
        <v>45776</v>
      </c>
      <c r="Q9" s="683" t="n"/>
      <c r="R9" s="683" t="n"/>
    </row>
    <row r="10" hidden="1" ht="17.25" customHeight="1" s="326">
      <c r="B10" s="28" t="inlineStr">
        <is>
          <t>24易鑫恒通ABN001优先B</t>
        </is>
      </c>
      <c r="C10" s="17" t="inlineStr">
        <is>
          <t>国泰君安</t>
        </is>
      </c>
      <c r="D10" s="18" t="n">
        <v>0.042</v>
      </c>
      <c r="E10" s="19" t="inlineStr">
        <is>
          <t>平价</t>
        </is>
      </c>
      <c r="F10" s="17" t="n">
        <v>45602</v>
      </c>
      <c r="G10" s="680" t="n">
        <v>2500</v>
      </c>
      <c r="H10" s="21" t="n">
        <v>100</v>
      </c>
      <c r="I10" s="681" t="n"/>
      <c r="J10" s="682" t="n">
        <v>0</v>
      </c>
      <c r="K10" s="24" t="inlineStr">
        <is>
          <t>外贸1</t>
        </is>
      </c>
      <c r="L10" s="24" t="n"/>
      <c r="M10" s="24" t="inlineStr">
        <is>
          <t>外贸1、元康20</t>
        </is>
      </c>
      <c r="N10" s="15" t="n">
        <v>2500</v>
      </c>
      <c r="O10" s="15" t="n">
        <v>100</v>
      </c>
      <c r="P10" s="26" t="n">
        <v>45776</v>
      </c>
      <c r="Q10" s="683" t="n"/>
      <c r="R10" s="683" t="n"/>
    </row>
    <row r="11" hidden="1" ht="17.25" customFormat="1" customHeight="1" s="29">
      <c r="B11" s="30" t="inlineStr">
        <is>
          <t>24启赢1ABN002次</t>
        </is>
      </c>
      <c r="C11" s="31" t="inlineStr">
        <is>
          <t>国泰君安</t>
        </is>
      </c>
      <c r="D11" s="32" t="n">
        <v>0.057</v>
      </c>
      <c r="E11" s="33" t="inlineStr">
        <is>
          <t>5%xirr</t>
        </is>
      </c>
      <c r="F11" s="31" t="n">
        <v>45621</v>
      </c>
      <c r="G11" s="684" t="n">
        <v>2000</v>
      </c>
      <c r="H11" s="30" t="inlineStr">
        <is>
          <t>-</t>
        </is>
      </c>
      <c r="I11" s="685" t="n">
        <v>101.1556</v>
      </c>
      <c r="J11" s="686" t="n">
        <v>0</v>
      </c>
      <c r="K11" s="37" t="inlineStr">
        <is>
          <t>元康20</t>
        </is>
      </c>
      <c r="L11" s="37" t="inlineStr">
        <is>
          <t>2月中下旬</t>
        </is>
      </c>
      <c r="M11" s="37" t="inlineStr">
        <is>
          <t>外贸1、元康20</t>
        </is>
      </c>
      <c r="N11" s="29" t="n">
        <v>1500</v>
      </c>
      <c r="O11" s="29" t="n">
        <v>102.325</v>
      </c>
      <c r="P11" s="38" t="n">
        <v>45707</v>
      </c>
      <c r="Q11" s="687">
        <f>N11*(O11-I11)/100</f>
        <v/>
      </c>
      <c r="R11" s="687" t="n"/>
      <c r="S11" s="40" t="n">
        <v>0.05</v>
      </c>
      <c r="T11" s="29">
        <f>O11*N11/100</f>
        <v/>
      </c>
    </row>
    <row r="12" hidden="1" customFormat="1" s="29">
      <c r="D12" s="41" t="n"/>
      <c r="F12" s="38" t="n"/>
      <c r="N12" s="29" t="n">
        <v>500</v>
      </c>
      <c r="O12" s="29" t="n">
        <v>102.338</v>
      </c>
      <c r="P12" s="38" t="n">
        <v>45708</v>
      </c>
      <c r="Q12" s="687">
        <f>N12*(O12-I11)/100</f>
        <v/>
      </c>
      <c r="R12" s="687" t="n"/>
      <c r="S12" s="40" t="n">
        <v>0.05</v>
      </c>
      <c r="T12" s="29">
        <f>O12*N12/100</f>
        <v/>
      </c>
    </row>
    <row r="13" hidden="1" ht="17.25" customHeight="1" s="326">
      <c r="B13" s="21" t="inlineStr">
        <is>
          <t>25东樾3号ABN001中间</t>
        </is>
      </c>
      <c r="C13" s="17" t="inlineStr">
        <is>
          <t>国泰君安</t>
        </is>
      </c>
      <c r="D13" s="18" t="n">
        <v>0.036</v>
      </c>
      <c r="E13" s="19" t="inlineStr">
        <is>
          <t>平价</t>
        </is>
      </c>
      <c r="F13" s="17" t="n">
        <v>45712</v>
      </c>
      <c r="G13" s="680" t="n">
        <v>1000</v>
      </c>
      <c r="H13" s="21" t="n">
        <v>100</v>
      </c>
      <c r="I13" s="681" t="n">
        <v>100</v>
      </c>
      <c r="J13" s="682">
        <f>G13-N13</f>
        <v/>
      </c>
      <c r="K13" s="24" t="inlineStr">
        <is>
          <t>元康22</t>
        </is>
      </c>
      <c r="L13" s="24" t="n"/>
      <c r="M13" s="24" t="inlineStr">
        <is>
          <t>外贸1、元康20</t>
        </is>
      </c>
      <c r="N13" s="15" t="n">
        <v>1000</v>
      </c>
      <c r="O13" s="15" t="n">
        <v>100</v>
      </c>
      <c r="P13" s="26" t="n">
        <v>45828</v>
      </c>
      <c r="Q13" s="683" t="n"/>
      <c r="R13" s="683" t="n"/>
    </row>
    <row r="14" hidden="1" ht="17.25" customHeight="1" s="326">
      <c r="B14" s="16" t="inlineStr">
        <is>
          <t>25启赢2号ABN002中间</t>
        </is>
      </c>
      <c r="C14" s="17" t="inlineStr">
        <is>
          <t>国泰君安</t>
        </is>
      </c>
      <c r="D14" s="18" t="n">
        <v>0.035</v>
      </c>
      <c r="E14" s="19" t="inlineStr">
        <is>
          <t>平价</t>
        </is>
      </c>
      <c r="F14" s="17" t="n">
        <v>45726</v>
      </c>
      <c r="G14" s="680" t="n">
        <v>700</v>
      </c>
      <c r="H14" s="21" t="n">
        <v>100</v>
      </c>
      <c r="I14" s="681" t="n"/>
      <c r="J14" s="682" t="n">
        <v>0</v>
      </c>
      <c r="K14" s="24" t="n"/>
      <c r="L14" s="24" t="n"/>
      <c r="M14" s="24" t="inlineStr">
        <is>
          <t>外贸1、元康20</t>
        </is>
      </c>
      <c r="N14" s="15" t="n">
        <v>700</v>
      </c>
      <c r="O14" s="15" t="n">
        <v>100</v>
      </c>
      <c r="P14" s="26" t="n">
        <v>45981</v>
      </c>
      <c r="Q14" s="683" t="inlineStr">
        <is>
          <t>25启赢2号ABN002中间[082500907.IB]，700w，100净价，11-20，国泰海通 冉雅婷 to 外贸信托朗瑞1号 孟亚琪</t>
        </is>
      </c>
      <c r="R14" s="683" t="n"/>
    </row>
    <row r="15" hidden="1" ht="17.25" customHeight="1" s="326">
      <c r="B15" s="16" t="inlineStr">
        <is>
          <t>25东裕2伯裕ABN001中间</t>
        </is>
      </c>
      <c r="C15" s="17" t="inlineStr">
        <is>
          <t>国泰君安</t>
        </is>
      </c>
      <c r="D15" s="18" t="n">
        <v>0.034</v>
      </c>
      <c r="E15" s="19" t="inlineStr">
        <is>
          <t>平价</t>
        </is>
      </c>
      <c r="F15" s="17" t="n">
        <v>45728</v>
      </c>
      <c r="G15" s="680" t="n">
        <v>1900</v>
      </c>
      <c r="H15" s="21" t="n">
        <v>100</v>
      </c>
      <c r="I15" s="681" t="n"/>
      <c r="J15" s="682" t="n">
        <v>0</v>
      </c>
      <c r="K15" s="24" t="n"/>
      <c r="L15" s="24" t="n"/>
      <c r="M15" s="24" t="inlineStr">
        <is>
          <t>外贸1、元康20</t>
        </is>
      </c>
      <c r="P15" s="15" t="inlineStr">
        <is>
          <t>到期了</t>
        </is>
      </c>
      <c r="Q15" s="683" t="n"/>
      <c r="R15" s="683" t="n"/>
    </row>
    <row r="16" hidden="1" ht="17.25" customHeight="1" s="326">
      <c r="B16" s="16" t="inlineStr">
        <is>
          <t>耘睿192C</t>
        </is>
      </c>
      <c r="C16" s="17" t="inlineStr">
        <is>
          <t>君集13号</t>
        </is>
      </c>
      <c r="D16" s="18" t="n">
        <v>0.036</v>
      </c>
      <c r="E16" s="19" t="inlineStr">
        <is>
          <t>平价</t>
        </is>
      </c>
      <c r="F16" s="17" t="n">
        <v>38425</v>
      </c>
      <c r="G16" s="680" t="n">
        <v>1000</v>
      </c>
      <c r="H16" s="21" t="n">
        <v>100</v>
      </c>
      <c r="I16" s="681" t="n"/>
      <c r="J16" s="680" t="n">
        <v>0</v>
      </c>
      <c r="K16" s="24" t="inlineStr">
        <is>
          <t>元康28</t>
        </is>
      </c>
      <c r="L16" s="24" t="n"/>
      <c r="M16" s="24" t="n"/>
      <c r="N16" s="15" t="n">
        <v>1000</v>
      </c>
      <c r="O16" s="15" t="n">
        <v>100</v>
      </c>
      <c r="P16" s="26" t="n">
        <v>45793</v>
      </c>
      <c r="Q16" s="683" t="n"/>
      <c r="R16" s="683" t="n"/>
    </row>
    <row r="17" hidden="1" ht="17.25" customHeight="1" s="326">
      <c r="B17" s="16" t="inlineStr">
        <is>
          <t>耘睿195C</t>
        </is>
      </c>
      <c r="C17" s="17" t="inlineStr">
        <is>
          <t>君集13号</t>
        </is>
      </c>
      <c r="D17" s="18" t="n">
        <v>0.036</v>
      </c>
      <c r="E17" s="19" t="inlineStr">
        <is>
          <t>平价</t>
        </is>
      </c>
      <c r="F17" s="17" t="n">
        <v>38425</v>
      </c>
      <c r="G17" s="680" t="n">
        <v>1000</v>
      </c>
      <c r="H17" s="21" t="n">
        <v>100</v>
      </c>
      <c r="I17" s="681" t="n"/>
      <c r="J17" s="680" t="n">
        <v>0</v>
      </c>
      <c r="K17" s="24" t="inlineStr">
        <is>
          <t>元康28</t>
        </is>
      </c>
      <c r="N17" s="15" t="n">
        <v>1000</v>
      </c>
      <c r="O17" s="15" t="n">
        <v>100</v>
      </c>
      <c r="P17" s="26" t="n">
        <v>45793</v>
      </c>
      <c r="Q17" s="683" t="n"/>
      <c r="R17" s="683" t="n"/>
    </row>
    <row r="18" hidden="1" ht="17.25" customHeight="1" s="326">
      <c r="B18" s="42" t="inlineStr">
        <is>
          <t>25鑫驰1B</t>
        </is>
      </c>
      <c r="C18" s="17" t="inlineStr">
        <is>
          <t>君集13号</t>
        </is>
      </c>
      <c r="D18" s="18" t="n">
        <v>0.038</v>
      </c>
      <c r="E18" s="19" t="inlineStr">
        <is>
          <t>平价</t>
        </is>
      </c>
      <c r="F18" s="17" t="n">
        <v>38425</v>
      </c>
      <c r="G18" s="680" t="n">
        <v>800</v>
      </c>
      <c r="H18" s="21" t="n">
        <v>100</v>
      </c>
      <c r="I18" s="681" t="n"/>
      <c r="J18" s="680" t="n">
        <v>0</v>
      </c>
      <c r="K18" s="24" t="inlineStr">
        <is>
          <t>苏信-已买</t>
        </is>
      </c>
      <c r="Q18" s="683" t="n"/>
      <c r="R18" s="683" t="n"/>
    </row>
    <row r="19" hidden="1" ht="17.25" customHeight="1" s="326">
      <c r="B19" s="16" t="inlineStr">
        <is>
          <t>荟臻032C</t>
        </is>
      </c>
      <c r="C19" s="17" t="inlineStr">
        <is>
          <t>国泰君安</t>
        </is>
      </c>
      <c r="D19" s="18" t="n">
        <v>0.05</v>
      </c>
      <c r="E19" s="19" t="inlineStr">
        <is>
          <t>4.9%xirr</t>
        </is>
      </c>
      <c r="F19" s="17" t="n">
        <v>45735</v>
      </c>
      <c r="G19" s="680" t="n">
        <v>200</v>
      </c>
      <c r="H19" s="21" t="n"/>
      <c r="I19" s="681" t="n">
        <v>131.138</v>
      </c>
      <c r="J19" s="680" t="n">
        <v>0</v>
      </c>
      <c r="K19" s="24" t="inlineStr">
        <is>
          <t>苏信</t>
        </is>
      </c>
      <c r="N19" s="15" t="n">
        <v>200</v>
      </c>
      <c r="O19" s="15" t="n">
        <v>131.5889</v>
      </c>
      <c r="P19" s="26" t="n">
        <v>45770</v>
      </c>
      <c r="Q19" s="683">
        <f>N19*(O19-I19)/100</f>
        <v/>
      </c>
      <c r="R19" s="683" t="n"/>
    </row>
    <row r="20" hidden="1" ht="17.25" customHeight="1" s="326">
      <c r="B20" s="16" t="inlineStr">
        <is>
          <t>25东樾1号ABN001中间</t>
        </is>
      </c>
      <c r="C20" s="17" t="inlineStr">
        <is>
          <t>中信投顾</t>
        </is>
      </c>
      <c r="D20" s="18" t="n">
        <v>0.037</v>
      </c>
      <c r="E20" s="19" t="inlineStr">
        <is>
          <t>平价-3.28w</t>
        </is>
      </c>
      <c r="F20" s="17" t="n">
        <v>45742</v>
      </c>
      <c r="G20" s="680" t="n">
        <v>1000</v>
      </c>
      <c r="H20" s="21" t="n">
        <v>100.1</v>
      </c>
      <c r="I20" s="681" t="n"/>
      <c r="J20" s="680" t="n">
        <v>0</v>
      </c>
      <c r="K20" s="24" t="inlineStr">
        <is>
          <t>朗瑞1号5期</t>
        </is>
      </c>
      <c r="N20" s="15" t="n">
        <v>1000</v>
      </c>
      <c r="O20" s="43">
        <f>H20-0.328</f>
        <v/>
      </c>
      <c r="P20" s="26" t="n">
        <v>45763</v>
      </c>
      <c r="Q20" s="683" t="n"/>
      <c r="R20" s="683" t="n"/>
      <c r="U20" s="15" t="n">
        <v>0.877808</v>
      </c>
    </row>
    <row r="21" hidden="1" ht="17.25" customHeight="1" s="326">
      <c r="B21" s="16" t="inlineStr">
        <is>
          <t>25和赢易鑫ABN001BC优先B</t>
        </is>
      </c>
      <c r="C21" s="17" t="inlineStr">
        <is>
          <t>国泰君安</t>
        </is>
      </c>
      <c r="D21" s="18" t="n">
        <v>0.038</v>
      </c>
      <c r="E21" s="19" t="inlineStr">
        <is>
          <t>平价</t>
        </is>
      </c>
      <c r="F21" s="17" t="n">
        <v>45744</v>
      </c>
      <c r="G21" s="680" t="n">
        <v>2000</v>
      </c>
      <c r="H21" s="21" t="n">
        <v>100</v>
      </c>
      <c r="I21" s="681" t="n"/>
      <c r="J21" s="680" t="n">
        <v>0</v>
      </c>
      <c r="K21" s="24" t="inlineStr">
        <is>
          <t>元康22，外贸1</t>
        </is>
      </c>
      <c r="Q21" s="683" t="n"/>
      <c r="R21" s="683" t="n"/>
    </row>
    <row r="22" hidden="1" ht="17.25" customHeight="1" s="326">
      <c r="B22" s="16" t="inlineStr">
        <is>
          <t>盛煜015C</t>
        </is>
      </c>
      <c r="C22" s="17" t="inlineStr">
        <is>
          <t>国泰君安</t>
        </is>
      </c>
      <c r="D22" s="18" t="n">
        <v>0.036</v>
      </c>
      <c r="E22" s="19" t="inlineStr">
        <is>
          <t>平价</t>
        </is>
      </c>
      <c r="F22" s="17" t="n">
        <v>45798</v>
      </c>
      <c r="G22" s="680" t="n">
        <v>2000</v>
      </c>
      <c r="H22" s="21" t="n">
        <v>100</v>
      </c>
      <c r="I22" s="681" t="n"/>
      <c r="J22" s="680" t="n">
        <v>0</v>
      </c>
      <c r="K22" s="24" t="inlineStr">
        <is>
          <t>元康22</t>
        </is>
      </c>
      <c r="N22" s="15" t="n">
        <v>550</v>
      </c>
      <c r="O22" s="15" t="n">
        <v>100</v>
      </c>
      <c r="P22" s="26" t="n">
        <v>45854</v>
      </c>
      <c r="Q22" s="683" t="n"/>
      <c r="R22" s="683" t="n"/>
    </row>
    <row r="23" hidden="1" ht="17.25" customHeight="1" s="326">
      <c r="B23" s="16" t="n"/>
      <c r="C23" s="17" t="n"/>
      <c r="D23" s="18" t="n"/>
      <c r="E23" s="19" t="n"/>
      <c r="F23" s="17" t="n"/>
      <c r="G23" s="680" t="n"/>
      <c r="H23" s="21" t="n"/>
      <c r="I23" s="681" t="n"/>
      <c r="J23" s="680" t="n"/>
      <c r="K23" s="24" t="inlineStr">
        <is>
          <t>外贸1</t>
        </is>
      </c>
      <c r="N23" s="15" t="n">
        <v>1450</v>
      </c>
      <c r="O23" s="15" t="n">
        <v>100</v>
      </c>
      <c r="P23" s="26" t="n">
        <v>45853</v>
      </c>
      <c r="Q23" s="683" t="n"/>
      <c r="R23" s="683" t="n"/>
    </row>
    <row r="24" hidden="1" ht="17.25" customHeight="1" s="326">
      <c r="B24" s="16" t="inlineStr">
        <is>
          <t>荟享19号第5期中间级</t>
        </is>
      </c>
      <c r="C24" s="17" t="inlineStr">
        <is>
          <t>国泰君安</t>
        </is>
      </c>
      <c r="D24" s="18" t="n">
        <v>0.037</v>
      </c>
      <c r="E24" s="19" t="inlineStr">
        <is>
          <t>平价</t>
        </is>
      </c>
      <c r="F24" s="17" t="n">
        <v>45763</v>
      </c>
      <c r="G24" s="680" t="n">
        <v>500</v>
      </c>
      <c r="H24" s="21" t="n">
        <v>100</v>
      </c>
      <c r="I24" s="681" t="n"/>
      <c r="J24" s="680" t="n">
        <v>0</v>
      </c>
      <c r="K24" s="24" t="inlineStr">
        <is>
          <t>元康21</t>
        </is>
      </c>
      <c r="N24" s="15" t="n">
        <v>500</v>
      </c>
      <c r="O24" s="15" t="n">
        <v>100</v>
      </c>
      <c r="P24" s="26" t="n">
        <v>45866</v>
      </c>
      <c r="Q24" s="683" t="n"/>
      <c r="R24" s="683" t="n"/>
    </row>
    <row r="25" hidden="1" ht="17.25" customHeight="1" s="326">
      <c r="B25" s="16" t="inlineStr">
        <is>
          <t>25东樾1号ABN001中间</t>
        </is>
      </c>
      <c r="C25" s="17" t="inlineStr">
        <is>
          <t>国泰君安</t>
        </is>
      </c>
      <c r="D25" s="18" t="n">
        <v>0.037</v>
      </c>
      <c r="E25" s="19" t="inlineStr">
        <is>
          <t>平价</t>
        </is>
      </c>
      <c r="F25" s="17" t="n">
        <v>45805</v>
      </c>
      <c r="G25" s="680" t="n">
        <v>1000</v>
      </c>
      <c r="H25" s="21" t="n">
        <v>100</v>
      </c>
      <c r="I25" s="681" t="n"/>
      <c r="J25" s="680" t="n">
        <v>0</v>
      </c>
      <c r="K25" s="24" t="n"/>
      <c r="N25" s="15" t="n">
        <v>1000</v>
      </c>
      <c r="O25" s="15" t="n">
        <v>100</v>
      </c>
      <c r="P25" s="26" t="n">
        <v>45981</v>
      </c>
      <c r="Q25" s="683" t="inlineStr">
        <is>
          <t>25东樾1号ABN001中间[082580036.IB]，1000w，100净价，11-20，国泰海通 冉雅婷 to 外贸信托朗瑞1号 孟亚琪</t>
        </is>
      </c>
      <c r="R25" s="683" t="n"/>
    </row>
    <row r="26" hidden="1" ht="17.25" customHeight="1" s="326">
      <c r="B26" s="16" t="inlineStr">
        <is>
          <t>盛煜013C</t>
        </is>
      </c>
      <c r="C26" s="17" t="inlineStr">
        <is>
          <t>国泰君安</t>
        </is>
      </c>
      <c r="D26" s="18" t="n">
        <v>0.035</v>
      </c>
      <c r="E26" s="19" t="inlineStr">
        <is>
          <t>平价</t>
        </is>
      </c>
      <c r="F26" s="17" t="n">
        <v>45814</v>
      </c>
      <c r="G26" s="680" t="n">
        <v>2000</v>
      </c>
      <c r="H26" s="21" t="n">
        <v>99.5</v>
      </c>
      <c r="I26" s="681" t="n"/>
      <c r="J26" s="680" t="n">
        <v>0</v>
      </c>
      <c r="K26" s="24" t="inlineStr">
        <is>
          <t>苏信26</t>
        </is>
      </c>
      <c r="N26" s="688" t="n">
        <v>2000</v>
      </c>
      <c r="O26" s="15">
        <f>H26</f>
        <v/>
      </c>
      <c r="P26" s="45" t="n">
        <v>45862</v>
      </c>
      <c r="Q26" s="683" t="n"/>
      <c r="R26" s="683" t="n"/>
    </row>
    <row r="27" hidden="1" ht="17.25" customHeight="1" s="326">
      <c r="B27" s="16" t="inlineStr">
        <is>
          <t>鑫诚4B</t>
        </is>
      </c>
      <c r="C27" s="17" t="inlineStr">
        <is>
          <t>金薇</t>
        </is>
      </c>
      <c r="D27" s="18" t="n">
        <v>0.036</v>
      </c>
      <c r="E27" s="19" t="inlineStr">
        <is>
          <t>平价</t>
        </is>
      </c>
      <c r="F27" s="17" t="n">
        <v>45817</v>
      </c>
      <c r="G27" s="680" t="n">
        <v>800</v>
      </c>
      <c r="H27" s="21" t="n">
        <v>100</v>
      </c>
      <c r="I27" s="681" t="n"/>
      <c r="J27" s="680" t="n">
        <v>0</v>
      </c>
      <c r="K27" s="24" t="inlineStr">
        <is>
          <t>苏信26</t>
        </is>
      </c>
      <c r="N27" s="688" t="n">
        <v>800</v>
      </c>
      <c r="O27" s="15">
        <f>H27</f>
        <v/>
      </c>
      <c r="P27" s="45" t="n">
        <v>45862</v>
      </c>
      <c r="Q27" s="683" t="n"/>
      <c r="R27" s="683" t="n"/>
    </row>
    <row r="28" hidden="1" ht="17.25" customHeight="1" s="326">
      <c r="B28" s="16" t="inlineStr">
        <is>
          <t>睿铭3B</t>
        </is>
      </c>
      <c r="C28" s="17" t="inlineStr">
        <is>
          <t>金薇</t>
        </is>
      </c>
      <c r="D28" s="18" t="n">
        <v>0.033</v>
      </c>
      <c r="E28" s="19" t="inlineStr">
        <is>
          <t>平价</t>
        </is>
      </c>
      <c r="F28" s="17" t="n">
        <v>45817</v>
      </c>
      <c r="G28" s="680" t="n">
        <v>800</v>
      </c>
      <c r="H28" s="21" t="n">
        <v>100</v>
      </c>
      <c r="I28" s="681" t="n"/>
      <c r="J28" s="680" t="n">
        <v>0</v>
      </c>
      <c r="K28" s="24" t="inlineStr">
        <is>
          <t>苏信26</t>
        </is>
      </c>
      <c r="N28" s="688" t="n">
        <v>800</v>
      </c>
      <c r="O28" s="15">
        <f>H28</f>
        <v/>
      </c>
      <c r="P28" s="45" t="n">
        <v>45862</v>
      </c>
      <c r="Q28" s="683" t="n"/>
      <c r="R28" s="683" t="n"/>
    </row>
    <row r="29" hidden="1" ht="17.25" customHeight="1" s="326">
      <c r="B29" s="16" t="inlineStr">
        <is>
          <t>星灿6A3</t>
        </is>
      </c>
      <c r="C29" s="17" t="inlineStr">
        <is>
          <t>金薇</t>
        </is>
      </c>
      <c r="D29" s="18" t="n">
        <v>0.043</v>
      </c>
      <c r="E29" s="19" t="inlineStr">
        <is>
          <t>平价</t>
        </is>
      </c>
      <c r="F29" s="17" t="n">
        <v>45817</v>
      </c>
      <c r="G29" s="680" t="n">
        <v>2500</v>
      </c>
      <c r="H29" s="21" t="n">
        <v>100</v>
      </c>
      <c r="I29" s="681" t="n"/>
      <c r="J29" s="680" t="n">
        <v>0</v>
      </c>
      <c r="K29" s="24" t="inlineStr">
        <is>
          <t>苏信26</t>
        </is>
      </c>
      <c r="N29" s="688" t="n">
        <v>2500</v>
      </c>
      <c r="O29" s="15">
        <f>H29</f>
        <v/>
      </c>
      <c r="P29" s="45" t="n">
        <v>45862</v>
      </c>
      <c r="Q29" s="683" t="n"/>
      <c r="R29" s="683" t="n"/>
    </row>
    <row r="30" hidden="1" ht="17.25" customHeight="1" s="326">
      <c r="B30" s="16" t="inlineStr">
        <is>
          <t>诚惠1B</t>
        </is>
      </c>
      <c r="C30" s="17" t="inlineStr">
        <is>
          <t>鑫沅资产</t>
        </is>
      </c>
      <c r="D30" s="18" t="n">
        <v>0.044</v>
      </c>
      <c r="E30" s="19" t="inlineStr">
        <is>
          <t>平价</t>
        </is>
      </c>
      <c r="F30" s="17" t="n">
        <v>45827</v>
      </c>
      <c r="G30" s="680" t="n">
        <v>1500</v>
      </c>
      <c r="H30" s="21" t="n">
        <v>101.65</v>
      </c>
      <c r="I30" s="681" t="n"/>
      <c r="J30" s="680" t="n">
        <v>0</v>
      </c>
      <c r="K30" s="24" t="inlineStr">
        <is>
          <t>苏信26</t>
        </is>
      </c>
      <c r="N30" s="688" t="n">
        <v>1500</v>
      </c>
      <c r="O30" s="15">
        <f>H30</f>
        <v/>
      </c>
      <c r="P30" s="45" t="n">
        <v>45862</v>
      </c>
      <c r="Q30" s="683" t="n"/>
      <c r="R30" s="683" t="n"/>
    </row>
    <row r="31" hidden="1" ht="17.25" customHeight="1" s="326">
      <c r="B31" s="16" t="inlineStr">
        <is>
          <t>朗煜1A3</t>
        </is>
      </c>
      <c r="C31" s="17" t="inlineStr">
        <is>
          <t>金薇</t>
        </is>
      </c>
      <c r="D31" s="18" t="n">
        <v>0.043</v>
      </c>
      <c r="E31" s="19" t="inlineStr">
        <is>
          <t>平价</t>
        </is>
      </c>
      <c r="F31" s="17" t="n">
        <v>45826</v>
      </c>
      <c r="G31" s="680" t="n">
        <v>1000</v>
      </c>
      <c r="H31" s="21" t="n">
        <v>100</v>
      </c>
      <c r="I31" s="681" t="n"/>
      <c r="J31" s="680" t="n">
        <v>0</v>
      </c>
      <c r="K31" s="24" t="inlineStr">
        <is>
          <t>苏信26</t>
        </is>
      </c>
      <c r="N31" s="688" t="n">
        <v>1000</v>
      </c>
      <c r="O31" s="15">
        <f>H31</f>
        <v/>
      </c>
      <c r="P31" s="45" t="n">
        <v>45862</v>
      </c>
      <c r="Q31" s="683" t="n"/>
      <c r="R31" s="683" t="n"/>
    </row>
    <row r="32" hidden="1" ht="17.25" customHeight="1" s="326">
      <c r="B32" s="16" t="inlineStr">
        <is>
          <t>耘睿192C</t>
        </is>
      </c>
      <c r="C32" s="17" t="inlineStr">
        <is>
          <t>国泰君安</t>
        </is>
      </c>
      <c r="D32" s="18" t="n">
        <v>0.037</v>
      </c>
      <c r="E32" s="19" t="inlineStr">
        <is>
          <t>平价</t>
        </is>
      </c>
      <c r="F32" s="17" t="n">
        <v>45831</v>
      </c>
      <c r="G32" s="680" t="n">
        <v>1000</v>
      </c>
      <c r="H32" s="21" t="n">
        <v>100.5</v>
      </c>
      <c r="I32" s="681" t="n"/>
      <c r="J32" s="680" t="n">
        <v>0</v>
      </c>
      <c r="K32" s="24" t="inlineStr">
        <is>
          <t>苏信26</t>
        </is>
      </c>
      <c r="N32" s="688" t="n">
        <v>1000</v>
      </c>
      <c r="O32" s="15">
        <f>H32</f>
        <v/>
      </c>
      <c r="P32" s="45" t="n">
        <v>45862</v>
      </c>
      <c r="Q32" s="683" t="n"/>
      <c r="R32" s="683" t="n"/>
    </row>
    <row r="33" hidden="1" ht="17.25" customHeight="1" s="326">
      <c r="B33" s="16" t="inlineStr">
        <is>
          <t>耘睿195C</t>
        </is>
      </c>
      <c r="C33" s="17" t="inlineStr">
        <is>
          <t>国泰君安</t>
        </is>
      </c>
      <c r="D33" s="18" t="n">
        <v>0.036</v>
      </c>
      <c r="E33" s="19" t="inlineStr">
        <is>
          <t>平价</t>
        </is>
      </c>
      <c r="F33" s="17" t="n">
        <v>45831</v>
      </c>
      <c r="G33" s="680" t="n">
        <v>1000</v>
      </c>
      <c r="H33" s="21" t="n">
        <v>100.5</v>
      </c>
      <c r="I33" s="681" t="n"/>
      <c r="J33" s="680" t="n">
        <v>0</v>
      </c>
      <c r="K33" s="24" t="inlineStr">
        <is>
          <t>苏信26</t>
        </is>
      </c>
      <c r="N33" s="688" t="n">
        <v>1000</v>
      </c>
      <c r="O33" s="15">
        <f>H33</f>
        <v/>
      </c>
      <c r="P33" s="45" t="n">
        <v>45862</v>
      </c>
      <c r="Q33" s="683" t="n"/>
      <c r="R33" s="683" t="n"/>
    </row>
    <row r="34" ht="17.25" customHeight="1" s="326">
      <c r="B34" s="16" t="inlineStr">
        <is>
          <t>24惠元ABN002优先A3</t>
        </is>
      </c>
      <c r="C34" s="17" t="inlineStr">
        <is>
          <t>国泰君安</t>
        </is>
      </c>
      <c r="D34" s="18" t="n">
        <v>0.044</v>
      </c>
      <c r="E34" s="46" t="n">
        <v>0.04</v>
      </c>
      <c r="F34" s="17" t="n">
        <v>45831</v>
      </c>
      <c r="G34" s="680" t="n">
        <v>4220</v>
      </c>
      <c r="H34" s="21" t="n">
        <v>100</v>
      </c>
      <c r="I34" s="681" t="n"/>
      <c r="J34" s="680" t="n">
        <v>3220</v>
      </c>
      <c r="K34" s="24" t="inlineStr">
        <is>
          <t>外贸1</t>
        </is>
      </c>
      <c r="N34" s="15" t="n">
        <v>1220</v>
      </c>
      <c r="O34" s="15" t="n">
        <v>100</v>
      </c>
      <c r="P34" s="26" t="n">
        <v>45854</v>
      </c>
      <c r="Q34" s="683" t="n"/>
      <c r="R34" s="683" t="n"/>
    </row>
    <row r="35" ht="17.25" customHeight="1" s="326">
      <c r="B35" s="16" t="inlineStr">
        <is>
          <t>24惠元ABN001优先A3</t>
        </is>
      </c>
      <c r="C35" s="17" t="inlineStr">
        <is>
          <t>国泰君安</t>
        </is>
      </c>
      <c r="D35" s="18" t="n">
        <v>0.044</v>
      </c>
      <c r="E35" s="46" t="n">
        <v>0.04</v>
      </c>
      <c r="F35" s="17" t="n">
        <v>45833</v>
      </c>
      <c r="G35" s="680" t="n">
        <v>1200</v>
      </c>
      <c r="H35" s="21" t="n">
        <v>100.12</v>
      </c>
      <c r="I35" s="681" t="n"/>
      <c r="J35" s="680" t="n">
        <v>1200</v>
      </c>
      <c r="K35" s="24" t="n"/>
      <c r="Q35" s="683" t="n"/>
      <c r="R35" s="683" t="n"/>
    </row>
    <row r="36" hidden="1" ht="19.5" customHeight="1" s="326">
      <c r="B36" s="28" t="inlineStr">
        <is>
          <t>23和赢易鑫ABN002BC优先B</t>
        </is>
      </c>
      <c r="C36" s="47" t="inlineStr">
        <is>
          <t>国泰君安</t>
        </is>
      </c>
      <c r="D36" s="48" t="n"/>
      <c r="E36" s="49" t="n">
        <v>0.035</v>
      </c>
      <c r="F36" s="50" t="n">
        <v>45835</v>
      </c>
      <c r="G36" s="689" t="n">
        <v>2500</v>
      </c>
      <c r="H36" s="28" t="n">
        <v>101.076</v>
      </c>
      <c r="I36" s="690" t="n"/>
      <c r="J36" s="689" t="n">
        <v>0</v>
      </c>
      <c r="K36" s="24" t="n"/>
      <c r="Q36" s="683" t="n"/>
      <c r="R36" s="683" t="n"/>
    </row>
    <row r="37" hidden="1" ht="17.25" customHeight="1" s="326">
      <c r="B37" s="16" t="inlineStr">
        <is>
          <t>铁建081C</t>
        </is>
      </c>
      <c r="C37" s="17" t="inlineStr">
        <is>
          <t>国泰君安</t>
        </is>
      </c>
      <c r="D37" s="18" t="n">
        <v>0.065</v>
      </c>
      <c r="E37" s="46" t="n">
        <v>0.05</v>
      </c>
      <c r="F37" s="17" t="n">
        <v>45832</v>
      </c>
      <c r="G37" s="680" t="n">
        <v>4200</v>
      </c>
      <c r="H37" s="21" t="n">
        <v>100</v>
      </c>
      <c r="I37" s="681" t="n"/>
      <c r="J37" s="691" t="n">
        <v>0</v>
      </c>
      <c r="K37" s="24" t="n"/>
      <c r="N37" s="15" t="n">
        <v>700</v>
      </c>
      <c r="O37" s="15" t="n">
        <v>100.11</v>
      </c>
      <c r="P37" s="26" t="n">
        <v>45966</v>
      </c>
      <c r="Q37" s="683" t="inlineStr">
        <is>
          <t>铁建081C[265587.SH] ,700w,100.11,11月5日，国泰海通 樊文娟 to 苏州信托苏信财富组合添利Z2502集合资金信托计划 徐健 xuj@trustsz.com</t>
        </is>
      </c>
      <c r="R37" s="683" t="n"/>
    </row>
    <row r="38" hidden="1" ht="17.25" customHeight="1" s="326">
      <c r="B38" s="16" t="n"/>
      <c r="C38" s="17" t="n"/>
      <c r="D38" s="18" t="n"/>
      <c r="E38" s="46" t="n"/>
      <c r="F38" s="17" t="n"/>
      <c r="G38" s="680" t="n"/>
      <c r="H38" s="21" t="n"/>
      <c r="I38" s="681" t="n"/>
      <c r="J38" s="691" t="n"/>
      <c r="K38" s="24" t="n"/>
      <c r="N38" s="15" t="n">
        <v>2000</v>
      </c>
      <c r="O38" s="15" t="n">
        <v>100.11</v>
      </c>
      <c r="P38" s="26" t="n">
        <v>45966</v>
      </c>
      <c r="Q38" s="683" t="inlineStr">
        <is>
          <t>铁建081C[265587.SH] ,2000w,100.11,11月5日，国泰海通 樊文娟 to 元康盛景28号 刘靖涛</t>
        </is>
      </c>
      <c r="R38" s="683" t="n"/>
    </row>
    <row r="39" hidden="1" ht="17.25" customHeight="1" s="326">
      <c r="B39" s="16" t="n"/>
      <c r="C39" s="17" t="n"/>
      <c r="D39" s="18" t="n"/>
      <c r="E39" s="46" t="n"/>
      <c r="F39" s="17" t="n"/>
      <c r="G39" s="680" t="n"/>
      <c r="H39" s="21" t="n"/>
      <c r="I39" s="681" t="n"/>
      <c r="J39" s="691" t="n"/>
      <c r="K39" s="24" t="n"/>
      <c r="N39" s="15" t="n">
        <v>1500</v>
      </c>
      <c r="O39" s="15" t="n">
        <v>100.02</v>
      </c>
      <c r="P39" s="26" t="n">
        <v>46050</v>
      </c>
      <c r="Q39" s="683" t="inlineStr">
        <is>
          <t>铁建081C[265587.SH] ,1500w,100.02,1月28日，国泰海通 樊文娟 to 元康盛景28号 刘靖涛</t>
        </is>
      </c>
      <c r="R39" s="683" t="n"/>
    </row>
    <row r="40" hidden="1" ht="17.25" customHeight="1" s="326">
      <c r="B40" s="16" t="inlineStr">
        <is>
          <t xml:space="preserve">铁建051C </t>
        </is>
      </c>
      <c r="C40" s="17" t="inlineStr">
        <is>
          <t>国泰君安</t>
        </is>
      </c>
      <c r="D40" s="18" t="n">
        <v>0.08500000000000001</v>
      </c>
      <c r="E40" s="46" t="n">
        <v>0.06</v>
      </c>
      <c r="F40" s="17" t="n">
        <v>45882</v>
      </c>
      <c r="G40" s="680" t="n">
        <v>5800</v>
      </c>
      <c r="H40" s="21" t="n">
        <v>109</v>
      </c>
      <c r="I40" s="681" t="n"/>
      <c r="J40" s="680">
        <f>5800-1000-285-910-1000-360-540-1705</f>
        <v/>
      </c>
      <c r="K40" s="24" t="n"/>
      <c r="P40" s="26" t="n">
        <v>45891</v>
      </c>
      <c r="Q40" s="683" t="n"/>
      <c r="R40" s="683" t="n"/>
      <c r="T40" s="15" t="inlineStr">
        <is>
          <t>铁建051C (199768.SH),8月22日，1000w，109.161元， 国泰海通 樊文娟2885347044 to 昆仑宝石花稳信增利2号标品投资固定收益类信托计划   崔笛 qq297797112</t>
        </is>
      </c>
    </row>
    <row r="41" hidden="1" ht="17.25" customHeight="1" s="326">
      <c r="B41" s="16" t="n"/>
      <c r="C41" s="17" t="n"/>
      <c r="D41" s="18" t="n"/>
      <c r="E41" s="46" t="n"/>
      <c r="F41" s="17" t="n"/>
      <c r="G41" s="680" t="n"/>
      <c r="H41" s="21" t="n"/>
      <c r="I41" s="681" t="n"/>
      <c r="J41" s="680" t="n"/>
      <c r="K41" s="24" t="n"/>
      <c r="P41" s="26" t="n">
        <v>45905</v>
      </c>
      <c r="Q41" s="683" t="n"/>
      <c r="R41" s="683" t="n"/>
      <c r="T41" s="15" t="inlineStr">
        <is>
          <t>铁建051C (199768.SH)，9月5日，285w面值，109.412，国泰海通 樊文娟 to 元康盛景28号 刘靖涛</t>
        </is>
      </c>
    </row>
    <row r="42" hidden="1" ht="17.25" customHeight="1" s="326">
      <c r="B42" s="16" t="n"/>
      <c r="C42" s="17" t="n"/>
      <c r="D42" s="18" t="n"/>
      <c r="E42" s="46" t="n"/>
      <c r="F42" s="17" t="n"/>
      <c r="G42" s="680" t="n"/>
      <c r="H42" s="21" t="n"/>
      <c r="I42" s="681" t="n"/>
      <c r="J42" s="680" t="n"/>
      <c r="K42" s="24" t="n"/>
      <c r="P42" s="26" t="n">
        <v>45916</v>
      </c>
      <c r="Q42" s="683" t="n"/>
      <c r="R42" s="683" t="n"/>
      <c r="T42" s="15" t="inlineStr">
        <is>
          <t xml:space="preserve">铁建051C (199768.SH)，9月16日，910w面值，109.609，国泰海通 樊文娟 to 元康盛景28号 刘靖涛 </t>
        </is>
      </c>
    </row>
    <row r="43" hidden="1" ht="17.25" customHeight="1" s="326">
      <c r="B43" s="16" t="n"/>
      <c r="C43" s="17" t="n"/>
      <c r="D43" s="18" t="n"/>
      <c r="E43" s="46" t="n"/>
      <c r="F43" s="17" t="n"/>
      <c r="G43" s="680" t="n"/>
      <c r="H43" s="21" t="n"/>
      <c r="I43" s="681" t="n"/>
      <c r="J43" s="680" t="n"/>
      <c r="K43" s="692" t="n"/>
      <c r="P43" s="26" t="n">
        <v>45926</v>
      </c>
      <c r="Q43" s="683" t="n"/>
      <c r="R43" s="683" t="n"/>
      <c r="T43" s="15" t="inlineStr">
        <is>
          <t>铁建051C (199768.SH)，9月26日，1000w面值，109.778，国泰海通 樊文娟 to 苏州信托苏信财富组合添利Z2502集合资金信托计划 徐健 xuj@trustsz.com</t>
        </is>
      </c>
    </row>
    <row r="44" hidden="1" ht="17.25" customHeight="1" s="326">
      <c r="B44" s="16" t="n"/>
      <c r="C44" s="17" t="n"/>
      <c r="D44" s="18" t="n"/>
      <c r="E44" s="46" t="n"/>
      <c r="F44" s="17" t="n"/>
      <c r="G44" s="680" t="n"/>
      <c r="H44" s="21" t="n"/>
      <c r="I44" s="681" t="n"/>
      <c r="J44" s="680" t="n"/>
      <c r="K44" s="24" t="n"/>
      <c r="P44" s="26" t="n">
        <v>45946</v>
      </c>
      <c r="Q44" s="683" t="n"/>
      <c r="R44" s="683" t="n"/>
      <c r="T44" s="15" t="inlineStr">
        <is>
          <t>铁建051C (199768.SH)，10月16日，360w面值，110.12，国泰海通 樊文娟 2885347044  to 元康盛景22号 to 马欢 110.165</t>
        </is>
      </c>
    </row>
    <row r="45" hidden="1" ht="17.25" customHeight="1" s="326">
      <c r="B45" s="16" t="n"/>
      <c r="C45" s="17" t="n"/>
      <c r="D45" s="18" t="n"/>
      <c r="E45" s="46" t="n"/>
      <c r="F45" s="17" t="n"/>
      <c r="G45" s="680" t="n"/>
      <c r="H45" s="21" t="n"/>
      <c r="I45" s="681" t="n"/>
      <c r="J45" s="680" t="n"/>
      <c r="K45" s="24" t="n"/>
      <c r="P45" s="26" t="n">
        <v>45947</v>
      </c>
      <c r="Q45" s="683" t="n"/>
      <c r="R45" s="683" t="n"/>
      <c r="T45" s="43" t="inlineStr">
        <is>
          <t>铁建051C (199768.SH)，10月17日，540w面值，110.137，国泰海通 樊文娟 2885347044  to 元康盛景20号 to 马欢 110.165,540w</t>
        </is>
      </c>
    </row>
    <row r="46" hidden="1" ht="17.25" customHeight="1" s="326">
      <c r="B46" s="16" t="n"/>
      <c r="C46" s="17" t="n"/>
      <c r="D46" s="18" t="n"/>
      <c r="E46" s="46" t="n"/>
      <c r="F46" s="17" t="n"/>
      <c r="G46" s="680" t="n"/>
      <c r="H46" s="21" t="n"/>
      <c r="I46" s="681" t="n"/>
      <c r="J46" s="680" t="n"/>
      <c r="K46" s="24" t="n"/>
      <c r="P46" s="26" t="n">
        <v>45953</v>
      </c>
      <c r="Q46" s="683" t="n"/>
      <c r="R46" s="683" t="n"/>
      <c r="T46" s="43" t="inlineStr">
        <is>
          <t>铁建051C (199768.SH)，1705w，110.242，10-23，国泰海通 樊文娟 to 元康盛景28号 刘靖涛</t>
        </is>
      </c>
    </row>
    <row r="47" hidden="1" ht="17.25" customHeight="1" s="326">
      <c r="B47" s="16" t="n"/>
      <c r="C47" s="17" t="n"/>
      <c r="D47" s="18" t="n"/>
      <c r="E47" s="46" t="n"/>
      <c r="F47" s="17" t="n"/>
      <c r="G47" s="680" t="n"/>
      <c r="H47" s="21" t="n"/>
      <c r="I47" s="681" t="n"/>
      <c r="J47" s="680" t="n"/>
      <c r="K47" s="24" t="n"/>
      <c r="P47" s="26" t="n"/>
      <c r="Q47" s="683" t="n"/>
      <c r="R47" s="683" t="n"/>
      <c r="T47" s="43" t="n"/>
    </row>
    <row r="48" ht="17.25" customHeight="1" s="326">
      <c r="B48" s="28" t="inlineStr">
        <is>
          <t>24和赢易鑫ABN001BC优先B</t>
        </is>
      </c>
      <c r="C48" s="47" t="inlineStr">
        <is>
          <t>国泰君安</t>
        </is>
      </c>
      <c r="D48" s="48" t="n">
        <v>0.0515</v>
      </c>
      <c r="E48" s="49" t="n">
        <v>0.035</v>
      </c>
      <c r="F48" s="47" t="n">
        <v>45881</v>
      </c>
      <c r="G48" s="689" t="n">
        <v>1700</v>
      </c>
      <c r="H48" s="28" t="n">
        <v>102.7024</v>
      </c>
      <c r="I48" s="690" t="n">
        <v>102.9281534117647</v>
      </c>
      <c r="J48" s="689" t="n">
        <v>1700</v>
      </c>
      <c r="K48" s="24" t="inlineStr">
        <is>
          <t>后手3.5%，价格比估值低</t>
        </is>
      </c>
      <c r="P48" s="26" t="n"/>
      <c r="Q48" s="55" t="n"/>
      <c r="R48" s="683" t="n"/>
    </row>
    <row r="49" ht="17.25" customHeight="1" s="326">
      <c r="B49" s="16" t="inlineStr">
        <is>
          <t>24惠元ABN001优先A3</t>
        </is>
      </c>
      <c r="C49" s="17" t="inlineStr">
        <is>
          <t>国泰君安</t>
        </is>
      </c>
      <c r="D49" s="18" t="n">
        <v>0.04</v>
      </c>
      <c r="E49" s="46" t="n">
        <v>0.04</v>
      </c>
      <c r="F49" s="17" t="n">
        <v>45881</v>
      </c>
      <c r="G49" s="680" t="inlineStr">
        <is>
          <t> </t>
        </is>
      </c>
      <c r="H49" s="21" t="n">
        <v>94.2705</v>
      </c>
      <c r="I49" s="681" t="n"/>
      <c r="J49" s="680" t="n">
        <v>1100</v>
      </c>
      <c r="K49" s="24" t="n"/>
      <c r="P49" s="26" t="n"/>
      <c r="Q49" s="683" t="n"/>
      <c r="R49" s="683" t="n"/>
    </row>
    <row r="50" ht="17.25" customHeight="1" s="326">
      <c r="B50" s="28" t="inlineStr">
        <is>
          <t>24易鑫恒通ABN001优先</t>
        </is>
      </c>
      <c r="C50" s="47" t="inlineStr">
        <is>
          <t>国泰君安</t>
        </is>
      </c>
      <c r="D50" s="48" t="n">
        <v>0.042</v>
      </c>
      <c r="E50" s="49" t="n">
        <v>0.035</v>
      </c>
      <c r="F50" s="47" t="n">
        <v>45867</v>
      </c>
      <c r="G50" s="689" t="n">
        <v>2400</v>
      </c>
      <c r="H50" s="28" t="n">
        <v>101.85</v>
      </c>
      <c r="I50" s="690" t="n">
        <v>101.88452</v>
      </c>
      <c r="J50" s="689" t="n">
        <v>2000</v>
      </c>
      <c r="K50" s="24" t="n"/>
      <c r="P50" s="26" t="n"/>
      <c r="Q50" s="693" t="n"/>
      <c r="R50" s="683" t="n"/>
    </row>
    <row r="51" hidden="1" ht="17.25" customHeight="1" s="326">
      <c r="B51" s="28" t="inlineStr">
        <is>
          <t>25鼎柚3次级</t>
        </is>
      </c>
      <c r="C51" s="47" t="inlineStr">
        <is>
          <t>国泰君安</t>
        </is>
      </c>
      <c r="D51" s="48" t="n">
        <v>0.052</v>
      </c>
      <c r="E51" s="49" t="n">
        <v>0.045</v>
      </c>
      <c r="F51" s="47" t="n">
        <v>45896</v>
      </c>
      <c r="G51" s="689" t="n">
        <v>1400</v>
      </c>
      <c r="H51" s="28" t="n">
        <v>100.3819</v>
      </c>
      <c r="I51" s="690" t="n"/>
      <c r="J51" s="689" t="n">
        <v>0</v>
      </c>
      <c r="K51" s="24" t="n"/>
      <c r="O51" s="694">
        <f>H51*(1+4.5%/365*(P51-F51))</f>
        <v/>
      </c>
      <c r="P51" s="26" t="n">
        <v>45947</v>
      </c>
      <c r="Q51" s="683" t="n"/>
      <c r="R51" s="55" t="n"/>
      <c r="T51" s="15" t="inlineStr">
        <is>
          <t>25鼎柚3次级，2589212.IB，2025-8-27,1400w，101.0131， 国泰海通刘一荻 to 外贸信托-元康盛景1号 赵婷婷</t>
        </is>
      </c>
    </row>
    <row r="52" ht="17.25" customHeight="1" s="326">
      <c r="B52" s="28" t="inlineStr">
        <is>
          <t>25和赢易鑫ABN001BC优先B</t>
        </is>
      </c>
      <c r="C52" s="47" t="inlineStr">
        <is>
          <t>国泰君安</t>
        </is>
      </c>
      <c r="D52" s="48" t="n">
        <v>0.038</v>
      </c>
      <c r="E52" s="49" t="n">
        <v>0.035</v>
      </c>
      <c r="F52" s="47" t="n">
        <v>45904</v>
      </c>
      <c r="G52" s="689" t="n">
        <v>600</v>
      </c>
      <c r="H52" s="28" t="n">
        <v>100.2872</v>
      </c>
      <c r="I52" s="690" t="n">
        <v>100.37049</v>
      </c>
      <c r="J52" s="689" t="n">
        <v>600</v>
      </c>
      <c r="K52" s="24" t="n"/>
      <c r="O52" s="15" t="n">
        <v>101.36</v>
      </c>
      <c r="P52" s="26" t="n">
        <v>46105</v>
      </c>
      <c r="Q52" s="58" t="n"/>
      <c r="R52" s="683" t="n"/>
    </row>
    <row r="53" hidden="1" ht="17.25" customHeight="1" s="326">
      <c r="B53" s="16" t="inlineStr">
        <is>
          <t>24京能3号ABN001次</t>
        </is>
      </c>
      <c r="C53" s="17" t="inlineStr">
        <is>
          <t>国泰君安</t>
        </is>
      </c>
      <c r="D53" s="18" t="n">
        <v>0.08500000000000001</v>
      </c>
      <c r="E53" s="59" t="n">
        <v>0.06</v>
      </c>
      <c r="F53" s="17" t="n">
        <v>45903</v>
      </c>
      <c r="G53" s="680" t="n">
        <v>1550</v>
      </c>
      <c r="H53" s="21" t="n">
        <v>100.1629</v>
      </c>
      <c r="I53" s="681" t="n"/>
      <c r="J53" s="691">
        <f>1550-1550</f>
        <v/>
      </c>
      <c r="K53" s="24" t="n"/>
      <c r="N53" s="15" t="n">
        <v>1550</v>
      </c>
      <c r="O53" s="15" t="n">
        <v>101.078</v>
      </c>
      <c r="P53" s="26" t="n">
        <v>45960</v>
      </c>
      <c r="Q53" s="55" t="inlineStr">
        <is>
          <t>24京能3号ABN001次 (082482325.IB)，1550w,101.078，2025-10-30， 国泰海通 刘一荻2881471294 to 外贸信托元康盛景1号 赵婷婷 qt2850551246</t>
        </is>
      </c>
      <c r="R53" s="693" t="n"/>
      <c r="T53" s="688" t="n"/>
    </row>
    <row r="54" hidden="1" ht="17.25" customHeight="1" s="326">
      <c r="B54" s="16" t="n"/>
      <c r="C54" s="17" t="n"/>
      <c r="D54" s="18" t="n"/>
      <c r="E54" s="59" t="n"/>
      <c r="F54" s="17" t="n"/>
      <c r="G54" s="680" t="n"/>
      <c r="H54" s="21" t="n"/>
      <c r="I54" s="681" t="n"/>
      <c r="J54" s="691" t="n"/>
      <c r="K54" s="24" t="n"/>
      <c r="P54" s="26" t="n"/>
      <c r="Q54" s="55" t="n"/>
      <c r="R54" s="693" t="n"/>
      <c r="T54" s="688" t="n"/>
    </row>
    <row r="55" hidden="1" ht="17.25" customHeight="1" s="326">
      <c r="B55" s="16" t="inlineStr">
        <is>
          <t xml:space="preserve">	泓晟1号3期优先B级</t>
        </is>
      </c>
      <c r="C55" s="17" t="inlineStr">
        <is>
          <t>国泰君安</t>
        </is>
      </c>
      <c r="D55" s="18" t="n"/>
      <c r="E55" s="59" t="n">
        <v>0.0188</v>
      </c>
      <c r="F55" s="17" t="n">
        <v>45911</v>
      </c>
      <c r="G55" s="680" t="n">
        <v>430</v>
      </c>
      <c r="H55" s="21" t="n">
        <v>100</v>
      </c>
      <c r="I55" s="681" t="n"/>
      <c r="J55" s="680" t="n">
        <v>0</v>
      </c>
      <c r="K55" s="24" t="n"/>
      <c r="N55" s="15" t="n">
        <v>430</v>
      </c>
      <c r="O55" s="15" t="n">
        <v>100</v>
      </c>
      <c r="P55" s="26" t="n">
        <v>45980</v>
      </c>
      <c r="Q55" s="683" t="inlineStr">
        <is>
          <t>泓晟1号3期优先B级[146872.SZ]，430w，100净价，11-19，国泰海通樊文娟 to 元康盛景26号 刘靖涛</t>
        </is>
      </c>
      <c r="R55" s="683" t="n"/>
      <c r="T55" s="688" t="n"/>
    </row>
    <row r="56" hidden="1" ht="17.25" customHeight="1" s="326">
      <c r="B56" s="16" t="inlineStr">
        <is>
          <t xml:space="preserve">	泓晟1号3期优先C级</t>
        </is>
      </c>
      <c r="C56" s="17" t="inlineStr">
        <is>
          <t>国泰君安</t>
        </is>
      </c>
      <c r="D56" s="18" t="n"/>
      <c r="E56" s="59" t="n">
        <v>0.028</v>
      </c>
      <c r="F56" s="17" t="n">
        <v>45911</v>
      </c>
      <c r="G56" s="680" t="n">
        <v>535</v>
      </c>
      <c r="H56" s="21" t="n">
        <v>100</v>
      </c>
      <c r="I56" s="681" t="n"/>
      <c r="J56" s="680" t="n">
        <v>0</v>
      </c>
      <c r="K56" s="24" t="n"/>
      <c r="N56" s="15" t="n">
        <v>535</v>
      </c>
      <c r="O56" s="15" t="n">
        <v>100</v>
      </c>
      <c r="P56" s="26" t="n">
        <v>45980</v>
      </c>
      <c r="Q56" s="683" t="inlineStr">
        <is>
          <t>泓晟1号3期优先C级[146873.SZ] ，535w，净价100,11-19，国泰海通樊文娟 to 元康盛景26号 刘靖涛</t>
        </is>
      </c>
      <c r="R56" s="683" t="n"/>
      <c r="S56" s="688" t="n"/>
      <c r="T56" s="695" t="n"/>
    </row>
    <row r="57" hidden="1" ht="17.25" customHeight="1" s="326">
      <c r="B57" s="16" t="inlineStr">
        <is>
          <t>泓晟013D</t>
        </is>
      </c>
      <c r="C57" s="17" t="inlineStr">
        <is>
          <t>国泰君安</t>
        </is>
      </c>
      <c r="D57" s="18" t="n"/>
      <c r="E57" s="59" t="n">
        <v>0.05</v>
      </c>
      <c r="F57" s="17" t="n">
        <v>45911</v>
      </c>
      <c r="G57" s="680" t="n">
        <v>915</v>
      </c>
      <c r="H57" s="21" t="n">
        <v>100</v>
      </c>
      <c r="I57" s="681" t="n"/>
      <c r="J57" s="680">
        <f>915-915</f>
        <v/>
      </c>
      <c r="K57" s="24" t="n"/>
      <c r="O57" s="693">
        <f>100*(1+4.5%/365*(P57-F57-1))</f>
        <v/>
      </c>
      <c r="P57" s="26" t="n"/>
      <c r="Q57" s="683" t="n"/>
      <c r="R57" s="683" t="n"/>
      <c r="T57" s="15" t="inlineStr">
        <is>
          <t>泓晟1号3期次级[146874.SZ] ,915w,100.468,10月20日，国泰海通 樊文娟 to 苏州信托苏信财富组合添利Z2502集合资金信托计划 徐健 xuj@trustsz.com</t>
        </is>
      </c>
    </row>
    <row r="58" hidden="1" ht="17.25" customHeight="1" s="326">
      <c r="B58" s="16" t="inlineStr">
        <is>
          <t>24京能3号ABN001次</t>
        </is>
      </c>
      <c r="C58" s="17" t="inlineStr">
        <is>
          <t>国泰君安</t>
        </is>
      </c>
      <c r="D58" s="18" t="n">
        <v>0.08500000000000001</v>
      </c>
      <c r="E58" s="59" t="inlineStr">
        <is>
          <t>5.5-6%</t>
        </is>
      </c>
      <c r="F58" s="17" t="n">
        <v>45908</v>
      </c>
      <c r="G58" s="680" t="n">
        <v>1000</v>
      </c>
      <c r="H58" s="21" t="n">
        <v>100.12</v>
      </c>
      <c r="I58" s="681" t="n"/>
      <c r="J58" s="691" t="n">
        <v>0</v>
      </c>
      <c r="K58" s="24" t="inlineStr">
        <is>
          <t>朗瑞1-7</t>
        </is>
      </c>
      <c r="N58" s="15" t="n">
        <v>1000</v>
      </c>
      <c r="O58" s="15" t="n">
        <v>100.12</v>
      </c>
      <c r="P58" s="26" t="n">
        <v>46063</v>
      </c>
      <c r="Q58" s="683" t="inlineStr">
        <is>
          <t>24京能3号ABN001次 (082482325.IB)，1100w，100.12元/百元面值，2月10日，24京能3号ABN001次 (082482325.IB)，100w，100元/百元面值，12月30日，五矿信托和玉系列-元康盛景系列【2】号集合资金信托计划 to 国泰海通 冉雅婷</t>
        </is>
      </c>
      <c r="R58" s="683" t="n"/>
    </row>
    <row r="59" hidden="1" ht="17.25" customHeight="1" s="326">
      <c r="B59" s="16" t="inlineStr">
        <is>
          <t>25美团美好ABN002次</t>
        </is>
      </c>
      <c r="C59" s="17" t="inlineStr">
        <is>
          <t>国泰君安</t>
        </is>
      </c>
      <c r="D59" s="18" t="n">
        <v>0.048</v>
      </c>
      <c r="E59" s="59" t="n">
        <v>0.045</v>
      </c>
      <c r="F59" s="17" t="n">
        <v>45924</v>
      </c>
      <c r="G59" s="680" t="n">
        <v>1400</v>
      </c>
      <c r="H59" s="21" t="n">
        <v>100.5523</v>
      </c>
      <c r="I59" s="681" t="n"/>
      <c r="J59" s="691" t="n">
        <v>0</v>
      </c>
      <c r="K59" s="24" t="n"/>
      <c r="O59" s="694">
        <f>H59*(1+4.5%/365*(P59-F59))</f>
        <v/>
      </c>
      <c r="P59" s="26" t="n">
        <v>45964</v>
      </c>
      <c r="Q59" s="683" t="inlineStr">
        <is>
          <t>25美团美好ABN002次，082580682.IB，1400w，101.0482,11-3， 国泰海通 刘一荻 2881471294 to 外贸信托元康盛景1号 赵婷婷</t>
        </is>
      </c>
      <c r="R59" s="683" t="n"/>
    </row>
    <row r="60" hidden="1" ht="17.25" customFormat="1" customHeight="1" s="62">
      <c r="B60" s="28" t="inlineStr">
        <is>
          <t>23和赢易鑫ABN004BC优先B</t>
        </is>
      </c>
      <c r="C60" s="47" t="inlineStr">
        <is>
          <t>华宝</t>
        </is>
      </c>
      <c r="D60" s="48" t="n">
        <v>0.06</v>
      </c>
      <c r="E60" s="49" t="n">
        <v>0.035</v>
      </c>
      <c r="F60" s="47" t="n">
        <v>45926</v>
      </c>
      <c r="G60" s="689" t="n">
        <v>1000</v>
      </c>
      <c r="H60" s="28" t="n">
        <v>101.7329</v>
      </c>
      <c r="I60" s="690" t="n"/>
      <c r="J60" s="689" t="n">
        <v>0</v>
      </c>
      <c r="K60" s="61" t="n"/>
      <c r="O60" s="62" t="n">
        <v>101.5385</v>
      </c>
      <c r="P60" s="26" t="n">
        <v>45952</v>
      </c>
      <c r="Q60" s="696" t="n"/>
      <c r="R60" s="696" t="n"/>
    </row>
    <row r="61" ht="17.25" customHeight="1" s="326">
      <c r="B61" s="16" t="inlineStr">
        <is>
          <t>25和赢蔚能ABN001BC优先A2(科创)</t>
        </is>
      </c>
      <c r="C61" s="17" t="inlineStr">
        <is>
          <t>华宝</t>
        </is>
      </c>
      <c r="D61" s="18" t="n">
        <v>0.05</v>
      </c>
      <c r="E61" s="59" t="n">
        <v>0.05</v>
      </c>
      <c r="F61" s="17" t="n">
        <v>45868</v>
      </c>
      <c r="G61" s="680" t="n">
        <v>5000</v>
      </c>
      <c r="H61" s="21" t="n">
        <v>100</v>
      </c>
      <c r="I61" s="681" t="n"/>
      <c r="J61" s="680" t="n">
        <v>2500</v>
      </c>
      <c r="K61" s="24" t="n"/>
      <c r="N61" s="15" t="n">
        <v>2500</v>
      </c>
      <c r="O61" s="15" t="n">
        <v>100</v>
      </c>
      <c r="P61" s="26" t="n">
        <v>46031</v>
      </c>
      <c r="Q61" s="683" t="inlineStr">
        <is>
          <t>3、25和赢蔚能ABN001BC优先A2(科创)[082580537.IB]，2500w，100净价，应计利息0.30137，1月8日，云南信托云乾10号 云南信托 陈文利3004414705  to 天风证券 唐德婷qt 2885078648
4、25和赢蔚能ABN001BC优先A2(科创)[082580537.IB]，2500w，100.01净价，应计利息0.30137，1月8日，天风证券 唐德婷qt 2885078648 to 外贸信托-元康盛景1号 赵婷婷</t>
        </is>
      </c>
      <c r="R61" s="683" t="n"/>
    </row>
    <row r="62" ht="17.25" customHeight="1" s="326">
      <c r="B62" s="16" t="n"/>
      <c r="C62" s="17" t="n"/>
      <c r="D62" s="18" t="n"/>
      <c r="E62" s="59" t="n"/>
      <c r="F62" s="17" t="n"/>
      <c r="G62" s="680" t="n"/>
      <c r="H62" s="21" t="n"/>
      <c r="I62" s="681" t="n"/>
      <c r="J62" s="680" t="n"/>
      <c r="K62" s="24" t="n"/>
      <c r="P62" s="26" t="n"/>
      <c r="Q62" s="683" t="n"/>
      <c r="R62" s="683" t="n"/>
    </row>
    <row r="63" ht="17.25" customHeight="1" s="326">
      <c r="B63" s="16" t="inlineStr">
        <is>
          <t>25和赢蔚能ABN001BC优先A2(科创)</t>
        </is>
      </c>
      <c r="C63" s="17" t="inlineStr">
        <is>
          <t>广发国际</t>
        </is>
      </c>
      <c r="D63" s="18" t="n">
        <v>0.05</v>
      </c>
      <c r="E63" s="59" t="n">
        <v>0.05</v>
      </c>
      <c r="F63" s="17" t="n">
        <v>45868</v>
      </c>
      <c r="G63" s="680" t="n">
        <v>10000</v>
      </c>
      <c r="H63" s="21" t="n">
        <v>100</v>
      </c>
      <c r="I63" s="681" t="n"/>
      <c r="J63" s="680" t="n">
        <v>10000</v>
      </c>
      <c r="K63" s="24" t="n"/>
      <c r="P63" s="26" t="n"/>
      <c r="Q63" s="683" t="n"/>
      <c r="R63" s="683" t="n"/>
    </row>
    <row r="64" hidden="1" ht="17.25" customHeight="1" s="326">
      <c r="B64" s="16" t="inlineStr">
        <is>
          <t>25东裕7叔裕ABN001次</t>
        </is>
      </c>
      <c r="C64" s="17" t="inlineStr">
        <is>
          <t>国泰君安</t>
        </is>
      </c>
      <c r="D64" s="18" t="n">
        <v>0.049</v>
      </c>
      <c r="E64" s="59" t="n">
        <v>0.045</v>
      </c>
      <c r="F64" s="17" t="n">
        <v>45944</v>
      </c>
      <c r="G64" s="680" t="n">
        <v>600</v>
      </c>
      <c r="H64" s="21" t="n">
        <v>101.8392</v>
      </c>
      <c r="I64" s="681" t="n"/>
      <c r="J64" s="691" t="n">
        <v>0</v>
      </c>
      <c r="K64" s="24" t="n"/>
      <c r="N64" s="15" t="n">
        <v>190</v>
      </c>
      <c r="O64" s="697">
        <f>H64*(1+E64/365*(P64-F64))</f>
        <v/>
      </c>
      <c r="P64" s="26" t="n">
        <v>46056</v>
      </c>
      <c r="Q64" s="0" t="inlineStr">
        <is>
          <t>1、25东裕7叔裕ABN001次,082501056.IB,190w,103.2454,2-3，t+0，国泰海通 夏雪 QT号：3007305611to 粤财信托鹏雅10号119期 王同博 QT员工号：3004238546</t>
        </is>
      </c>
      <c r="R64" s="683" t="n"/>
    </row>
    <row r="65" hidden="1" ht="17.25" customHeight="1" s="326">
      <c r="B65" s="16" t="n"/>
      <c r="C65" s="17" t="n"/>
      <c r="D65" s="18" t="n"/>
      <c r="E65" s="59" t="n"/>
      <c r="F65" s="17" t="n"/>
      <c r="G65" s="680" t="n"/>
      <c r="H65" s="21" t="n"/>
      <c r="I65" s="681" t="n"/>
      <c r="J65" s="691" t="n"/>
      <c r="K65" s="24" t="n"/>
      <c r="N65" s="15" t="n">
        <v>410</v>
      </c>
      <c r="O65" s="697">
        <f>H64*(1+E64/365*(P65-F64))</f>
        <v/>
      </c>
      <c r="P65" s="26" t="n">
        <v>46063</v>
      </c>
      <c r="Q65" s="0" t="inlineStr">
        <is>
          <t>1、25东裕7叔裕ABN001次,082501056.IB,410w,103.3333, 2-10，t+0，国泰海通 夏雪 QT号：3007305611to 外贸信托元康盛景1号 赵婷婷</t>
        </is>
      </c>
      <c r="R65" s="683" t="n"/>
    </row>
    <row r="66" hidden="1" ht="17.25" customHeight="1" s="326">
      <c r="B66" s="16" t="inlineStr">
        <is>
          <t>惠享4优A</t>
        </is>
      </c>
      <c r="C66" s="17" t="inlineStr">
        <is>
          <t>华宝</t>
        </is>
      </c>
      <c r="D66" s="18" t="n">
        <v>0.025</v>
      </c>
      <c r="E66" s="59" t="n">
        <v>0.025</v>
      </c>
      <c r="F66" s="17" t="n">
        <v>45940</v>
      </c>
      <c r="G66" s="680" t="n">
        <v>800</v>
      </c>
      <c r="H66" s="21" t="n">
        <v>100</v>
      </c>
      <c r="I66" s="681" t="n"/>
      <c r="J66" s="680" t="n">
        <v>0</v>
      </c>
      <c r="K66" s="24" t="n"/>
      <c r="N66" s="15" t="n">
        <v>800</v>
      </c>
      <c r="O66" s="15" t="n">
        <v>100.001</v>
      </c>
      <c r="P66" s="26" t="n">
        <v>45980</v>
      </c>
      <c r="Q66" s="683" t="inlineStr">
        <is>
          <t xml:space="preserve">惠享4优A (146946.SZ),800w, 净价100.001, 11-19, 华宝证券XXXX to 苏信财富Z2501集合资金信托计划 徐健 xuj@trustsz.com qq455768073 </t>
        </is>
      </c>
      <c r="R66" s="683" t="n"/>
    </row>
    <row r="67" hidden="1" ht="17.25" customHeight="1" s="326">
      <c r="B67" s="16" t="inlineStr">
        <is>
          <t>惠享4优B</t>
        </is>
      </c>
      <c r="C67" s="17" t="inlineStr">
        <is>
          <t>华宝</t>
        </is>
      </c>
      <c r="D67" s="18" t="n">
        <v>0.04</v>
      </c>
      <c r="E67" s="59" t="n">
        <v>0.04</v>
      </c>
      <c r="F67" s="17" t="n">
        <v>45940</v>
      </c>
      <c r="G67" s="680" t="n">
        <v>1500</v>
      </c>
      <c r="H67" s="21" t="n">
        <v>100</v>
      </c>
      <c r="I67" s="681" t="n"/>
      <c r="J67" s="680" t="n">
        <v>0</v>
      </c>
      <c r="N67" s="15" t="n">
        <v>1500</v>
      </c>
      <c r="O67" s="64" t="n">
        <v>100.001</v>
      </c>
      <c r="P67" s="26" t="n">
        <v>45980</v>
      </c>
      <c r="Q67" s="64" t="inlineStr">
        <is>
          <t>惠享4优B (146947.SZ),1500w, 净价100.001, 11-19, 华宝证券XXXX to 苏信财富Z2501集合资金信托计划 徐健 xuj@trustsz.com qq455768073</t>
        </is>
      </c>
      <c r="R67" s="64" t="n"/>
      <c r="S67" s="64" t="n"/>
      <c r="T67" s="64" t="n"/>
      <c r="U67" s="64" t="n"/>
    </row>
    <row r="68" hidden="1" ht="17.25" customHeight="1" s="326">
      <c r="B68" s="16" t="inlineStr">
        <is>
          <t>狮桥 61B</t>
        </is>
      </c>
      <c r="C68" s="17" t="inlineStr">
        <is>
          <t>渣打证券</t>
        </is>
      </c>
      <c r="D68" s="18" t="n">
        <v>0.033</v>
      </c>
      <c r="E68" s="59" t="n">
        <v>0.033</v>
      </c>
      <c r="F68" s="17" t="n">
        <v>45958</v>
      </c>
      <c r="G68" s="680" t="n">
        <v>1000</v>
      </c>
      <c r="H68" s="21" t="n">
        <v>100</v>
      </c>
      <c r="I68" s="681" t="n"/>
      <c r="J68" s="680" t="n">
        <v>0</v>
      </c>
      <c r="N68" s="15" t="n">
        <v>1000</v>
      </c>
      <c r="O68" s="64" t="n">
        <v>100.001</v>
      </c>
      <c r="P68" s="26" t="n">
        <v>45985</v>
      </c>
      <c r="Q68" s="64" t="inlineStr">
        <is>
          <t>狮桥61B[500038.SZ] ，1000w，净价100.001,11-24，中信证券赵恒昆 qt3004076439  to 苏信财富Z2501集合资金信托计划 徐健 xuj@trustsz.com qq455768073</t>
        </is>
      </c>
      <c r="R68" s="64" t="n"/>
      <c r="S68" s="64" t="n"/>
      <c r="T68" s="64" t="n"/>
      <c r="U68" s="64" t="n"/>
    </row>
    <row r="69" hidden="1" ht="17.25" customHeight="1" s="326">
      <c r="B69" s="16" t="inlineStr">
        <is>
          <t>25DC3B</t>
        </is>
      </c>
      <c r="C69" s="17" t="inlineStr">
        <is>
          <t>中金</t>
        </is>
      </c>
      <c r="D69" s="18" t="n">
        <v>0.029</v>
      </c>
      <c r="E69" s="59" t="n">
        <v>0.029</v>
      </c>
      <c r="F69" s="17" t="n">
        <v>45959</v>
      </c>
      <c r="G69" s="680" t="n">
        <v>2900</v>
      </c>
      <c r="H69" s="21" t="n">
        <v>100</v>
      </c>
      <c r="I69" s="681" t="n"/>
      <c r="J69" s="680" t="n">
        <v>0</v>
      </c>
      <c r="O69" s="64" t="n"/>
      <c r="P69" s="26" t="n"/>
      <c r="Q69" s="64" t="inlineStr">
        <is>
          <t>富民银行</t>
        </is>
      </c>
      <c r="R69" s="64" t="n"/>
      <c r="S69" s="64" t="n"/>
      <c r="T69" s="64" t="n"/>
      <c r="U69" s="64" t="n"/>
    </row>
    <row r="70" ht="17.25" customHeight="1" s="326">
      <c r="B70" s="16" t="inlineStr">
        <is>
          <t>25京能4号ABN001次（绿色）</t>
        </is>
      </c>
      <c r="C70" s="17" t="inlineStr">
        <is>
          <t>国泰君安</t>
        </is>
      </c>
      <c r="D70" s="18" t="n">
        <v>0.08500000000000001</v>
      </c>
      <c r="E70" s="59" t="inlineStr">
        <is>
          <t>6%（我们是6.5%）</t>
        </is>
      </c>
      <c r="F70" s="17" t="n">
        <v>45971</v>
      </c>
      <c r="G70" s="680" t="n">
        <v>5000</v>
      </c>
      <c r="H70" s="21" t="n">
        <v>100</v>
      </c>
      <c r="I70" s="681" t="n"/>
      <c r="J70" s="680" t="n">
        <v>2000</v>
      </c>
      <c r="N70" s="15" t="n">
        <v>3000</v>
      </c>
      <c r="O70" s="64" t="n">
        <v>99.825</v>
      </c>
      <c r="P70" s="26" t="n">
        <v>46154</v>
      </c>
      <c r="Q70" s="64" t="inlineStr">
        <is>
          <t>5/12，25京能4号ABN001次（绿色）[082580987.IB]，3000w，99.825，国泰海通 冉雅婷 to 外贸信托元康盛景1号 赵婷婷</t>
        </is>
      </c>
      <c r="R70" s="64" t="n"/>
      <c r="S70" s="64" t="n"/>
      <c r="T70" s="64" t="n"/>
      <c r="U70" s="64" t="n"/>
    </row>
    <row r="71" hidden="1" ht="17.25" customHeight="1" s="326">
      <c r="B71" s="16" t="inlineStr">
        <is>
          <t>博远044D</t>
        </is>
      </c>
      <c r="C71" s="17" t="inlineStr">
        <is>
          <t>国泰君安</t>
        </is>
      </c>
      <c r="D71" s="18" t="n"/>
      <c r="E71" s="59" t="n">
        <v>0.045</v>
      </c>
      <c r="F71" s="17" t="n">
        <v>45964</v>
      </c>
      <c r="G71" s="680" t="n">
        <v>1000</v>
      </c>
      <c r="H71" s="21" t="n">
        <v>112.183</v>
      </c>
      <c r="I71" s="681" t="n"/>
      <c r="J71" s="680" t="n">
        <v>0</v>
      </c>
      <c r="O71" s="64" t="n"/>
      <c r="P71" s="26" t="n">
        <v>45985</v>
      </c>
      <c r="Q71" s="65" t="inlineStr">
        <is>
          <t>博远044D (265106.SH)，1000w，112.473,11月24日， 国泰海通 樊文娟qt2885347044 to 天风证券 唐德婷 qt 2885078648；      博远044D (265106.SH)，1000w，112.483,11月24日， 天风证券 唐德婷 qt 2885078648 to 苏信财富Z2502 徐健 xuj@trustsz.com 455768073</t>
        </is>
      </c>
      <c r="R71" s="64" t="n"/>
      <c r="S71" s="64" t="n"/>
      <c r="T71" s="64" t="n"/>
      <c r="U71" s="64" t="n"/>
    </row>
    <row r="72" hidden="1" ht="17.25" customHeight="1" s="326">
      <c r="B72" s="16" t="inlineStr">
        <is>
          <t>禾昱六4D</t>
        </is>
      </c>
      <c r="C72" s="17" t="inlineStr">
        <is>
          <t>国泰君安</t>
        </is>
      </c>
      <c r="D72" s="18" t="n"/>
      <c r="E72" s="59" t="n">
        <v>0.045</v>
      </c>
      <c r="F72" s="17" t="n">
        <v>45964</v>
      </c>
      <c r="G72" s="680" t="n">
        <v>1000</v>
      </c>
      <c r="H72" s="21" t="n">
        <v>101.921</v>
      </c>
      <c r="I72" s="681" t="n"/>
      <c r="J72" s="680" t="n">
        <v>0</v>
      </c>
      <c r="O72" s="64" t="n"/>
      <c r="P72" s="26" t="n">
        <v>45985</v>
      </c>
      <c r="Q72" s="65" t="inlineStr">
        <is>
          <t>禾昱六4D (265409.SH)，1000w，102.185,11月24日， 国泰海通 樊文娟qt2885347044 to 天风证券 唐德婷 qt 2885078648；     禾昱六4D (265409.SH)，1000w，102.195,11月24日， 天风证券 唐德婷 qt 2885078648 to 苏信财富Z2502 徐健 xuj@trustsz.com 455768073</t>
        </is>
      </c>
      <c r="R72" s="64" t="n"/>
      <c r="S72" s="64" t="n"/>
      <c r="T72" s="64" t="n"/>
      <c r="U72" s="64" t="n"/>
    </row>
    <row r="73" hidden="1" ht="17.25" customHeight="1" s="326">
      <c r="B73" s="16" t="inlineStr">
        <is>
          <t xml:space="preserve">荟臻032C </t>
        </is>
      </c>
      <c r="C73" s="17" t="inlineStr">
        <is>
          <t>国泰君安</t>
        </is>
      </c>
      <c r="D73" s="18" t="n"/>
      <c r="E73" s="59" t="n">
        <v>0.045</v>
      </c>
      <c r="F73" s="17" t="n">
        <v>45964</v>
      </c>
      <c r="G73" s="680" t="n">
        <v>1150</v>
      </c>
      <c r="H73" s="21" t="n">
        <v>135.01</v>
      </c>
      <c r="I73" s="681" t="n"/>
      <c r="J73" s="680" t="n">
        <v>0</v>
      </c>
      <c r="O73" s="64" t="n"/>
      <c r="P73" s="26" t="n">
        <v>45985</v>
      </c>
      <c r="Q73" s="65" t="inlineStr">
        <is>
          <t>荟臻032C (144302.SZ)，1150w，135.359,11月24日，国泰海通樊文娟 to 苏信财富Z2502 徐健 xuj@trustsz.com 455768073</t>
        </is>
      </c>
      <c r="R73" s="64" t="n"/>
      <c r="S73" s="64" t="n"/>
      <c r="T73" s="64" t="n"/>
      <c r="U73" s="64" t="n"/>
    </row>
    <row r="74" hidden="1" ht="17.25" customHeight="1" s="326">
      <c r="B74" s="16" t="inlineStr">
        <is>
          <t>炽诚3A3 266980.SH</t>
        </is>
      </c>
      <c r="C74" s="17" t="inlineStr">
        <is>
          <t>渣打证券</t>
        </is>
      </c>
      <c r="D74" s="18" t="n">
        <v>0.036</v>
      </c>
      <c r="E74" s="59" t="n">
        <v>0.036</v>
      </c>
      <c r="F74" s="17" t="n">
        <v>45979</v>
      </c>
      <c r="G74" s="680" t="n">
        <v>1000</v>
      </c>
      <c r="H74" s="21" t="n">
        <v>100</v>
      </c>
      <c r="I74" s="681" t="n"/>
      <c r="J74" s="680" t="n">
        <v>0</v>
      </c>
      <c r="N74" s="15" t="n">
        <v>1000</v>
      </c>
      <c r="O74" s="64" t="n">
        <v>100.001</v>
      </c>
      <c r="P74" s="66" t="n">
        <v>45994</v>
      </c>
      <c r="Q74" s="64" t="inlineStr">
        <is>
          <t>炽诚3A3 266980.SH，1000w，100.001，3.6%，11-17缴款，11-18起息，渣打证券代缴（上市净价100接回）</t>
        </is>
      </c>
      <c r="R74" s="64" t="n"/>
      <c r="S74" s="64" t="n"/>
      <c r="T74" s="64" t="n"/>
      <c r="U74" s="64" t="n"/>
    </row>
    <row r="75" hidden="1" ht="17.25" customHeight="1" s="326">
      <c r="B75" s="16" t="inlineStr">
        <is>
          <t xml:space="preserve">荟臻032C </t>
        </is>
      </c>
      <c r="C75" s="17" t="inlineStr">
        <is>
          <t>国泰君安</t>
        </is>
      </c>
      <c r="D75" s="18" t="n">
        <v>0.05</v>
      </c>
      <c r="E75" s="59" t="n">
        <v>0.04</v>
      </c>
      <c r="F75" s="17" t="n">
        <v>45994</v>
      </c>
      <c r="G75" s="680" t="n">
        <v>1600</v>
      </c>
      <c r="H75" s="21" t="n">
        <v>135.58</v>
      </c>
      <c r="I75" s="681" t="n"/>
      <c r="J75" s="680" t="n">
        <v>0</v>
      </c>
      <c r="K75" s="15" t="inlineStr">
        <is>
          <t>苏信</t>
        </is>
      </c>
      <c r="N75" s="15" t="n">
        <v>1600</v>
      </c>
      <c r="O75" s="698">
        <f>H75*(1+4.5%/365*(P75-F75))</f>
        <v/>
      </c>
      <c r="P75" s="66" t="n">
        <v>46013</v>
      </c>
      <c r="Q75" s="64" t="inlineStr">
        <is>
          <t>荟臻032C (144302.SZ)，1600w，135.8976,12月22日， 国泰海通 樊文娟 to 苏信Z2502</t>
        </is>
      </c>
      <c r="R75" s="64" t="n"/>
      <c r="S75" s="64" t="n"/>
      <c r="T75" s="64" t="n"/>
      <c r="U75" s="64" t="n"/>
    </row>
    <row r="76" hidden="1" ht="17.25" customHeight="1" s="326">
      <c r="B76" s="431" t="inlineStr">
        <is>
          <t>25美团美好ABN002次</t>
        </is>
      </c>
      <c r="C76" s="432" t="inlineStr">
        <is>
          <t>国泰君安</t>
        </is>
      </c>
      <c r="D76" s="433" t="n">
        <v>0.048</v>
      </c>
      <c r="E76" s="434" t="n">
        <v>0.04</v>
      </c>
      <c r="F76" s="432" t="n">
        <v>45994</v>
      </c>
      <c r="G76" s="699" t="n">
        <v>1400</v>
      </c>
      <c r="H76" s="436" t="n">
        <v>102.105</v>
      </c>
      <c r="I76" s="700" t="n"/>
      <c r="J76" s="699" t="n">
        <v>0</v>
      </c>
      <c r="K76" s="15" t="inlineStr">
        <is>
          <t>4月10买入</t>
        </is>
      </c>
      <c r="M76" s="15">
        <f>N76*O76/100</f>
        <v/>
      </c>
      <c r="N76" s="15" t="n">
        <v>370</v>
      </c>
      <c r="O76" s="701">
        <f>H76*(1+E76/365*(P76-F76))</f>
        <v/>
      </c>
      <c r="P76" s="439" t="n">
        <v>46083</v>
      </c>
      <c r="Q76" s="440" t="inlineStr">
        <is>
          <t>25美团美好ABN002次，082580682.IB，370w，103.101, 3-2，国泰海通 冉雅婷 QT号：2881971956 to 粤财信托鹏雅10号集合资金信托计划119期 王同博 QT员工号：3004238546</t>
        </is>
      </c>
      <c r="R76" s="440" t="n"/>
      <c r="S76" s="440" t="n"/>
      <c r="T76" s="440" t="n"/>
      <c r="U76" s="440" t="n"/>
    </row>
    <row r="77" hidden="1" ht="17.25" customHeight="1" s="326">
      <c r="B77" s="431" t="n"/>
      <c r="C77" s="432" t="n"/>
      <c r="D77" s="433" t="n"/>
      <c r="E77" s="434" t="n"/>
      <c r="F77" s="432" t="n"/>
      <c r="G77" s="699" t="n"/>
      <c r="H77" s="436" t="n"/>
      <c r="I77" s="700" t="n"/>
      <c r="J77" s="699" t="n"/>
      <c r="N77" s="15" t="n">
        <v>580</v>
      </c>
      <c r="O77" s="701" t="n">
        <v>103.52</v>
      </c>
      <c r="P77" s="439" t="n">
        <v>46122</v>
      </c>
      <c r="Q77" s="0" t="inlineStr">
        <is>
          <t>25美团美好ABN002次[082580682.IB]，580w，103.52，4月10日，国泰海通 冉雅婷 2881971956 to 外贸信托朗瑞1号5期  孟亚琪qt 2881131472</t>
        </is>
      </c>
      <c r="R77" s="440" t="n"/>
      <c r="S77" s="440" t="n"/>
      <c r="T77" s="440" t="n"/>
      <c r="U77" s="440" t="n"/>
    </row>
    <row r="78" hidden="1" ht="17.25" customHeight="1" s="326">
      <c r="B78" s="16" t="n"/>
      <c r="C78" s="17" t="n"/>
      <c r="D78" s="18" t="n"/>
      <c r="E78" s="59" t="n"/>
      <c r="F78" s="17" t="n"/>
      <c r="G78" s="680" t="n"/>
      <c r="H78" s="21" t="n"/>
      <c r="I78" s="681" t="n"/>
      <c r="J78" s="680" t="n"/>
      <c r="N78" s="15" t="n">
        <v>450</v>
      </c>
      <c r="O78" s="702" t="n">
        <v>103.52</v>
      </c>
      <c r="P78" s="66" t="n">
        <v>46122</v>
      </c>
      <c r="Q78" s="0" t="inlineStr">
        <is>
          <t>25美团美好ABN002次[082580682.IB]，450w，103.52，4月10日，国泰海通 冉雅婷 2881971956 to 粤财信托鹏雅10号119期 王同博 QT员工号：3004238546</t>
        </is>
      </c>
      <c r="R78" s="64" t="n"/>
      <c r="S78" s="64" t="n"/>
      <c r="T78" s="64" t="n"/>
      <c r="U78" s="64" t="n"/>
    </row>
    <row r="79" hidden="1" ht="17.25" customHeight="1" s="326">
      <c r="B79" s="16" t="inlineStr">
        <is>
          <t>狮桥62A2</t>
        </is>
      </c>
      <c r="C79" s="17" t="inlineStr">
        <is>
          <t>渣打证券</t>
        </is>
      </c>
      <c r="D79" s="18" t="n">
        <v>0.032</v>
      </c>
      <c r="E79" s="59" t="n">
        <v>0.032</v>
      </c>
      <c r="F79" s="17" t="n">
        <v>45995</v>
      </c>
      <c r="G79" s="680" t="n">
        <v>600</v>
      </c>
      <c r="H79" s="21" t="n">
        <v>100</v>
      </c>
      <c r="I79" s="681" t="n"/>
      <c r="J79" s="680" t="n">
        <v>600</v>
      </c>
      <c r="K79" s="15" t="inlineStr">
        <is>
          <t>苏信</t>
        </is>
      </c>
      <c r="N79" s="15" t="n">
        <v>600</v>
      </c>
      <c r="O79" s="64" t="n">
        <v>100.003</v>
      </c>
      <c r="P79" s="66" t="n">
        <v>46041</v>
      </c>
      <c r="Q79" s="64" t="inlineStr">
        <is>
          <t xml:space="preserve">狮桥62A2[500193.SZ]，600w，净价100.003，1月19日，中信证券 3004076439 to 苏信财富组合添利Z2501集合资金信托计划 徐健 qq455768073 邮箱xuj@trustsz.com </t>
        </is>
      </c>
      <c r="R79" s="64" t="n"/>
      <c r="S79" s="64" t="n"/>
      <c r="T79" s="64" t="n"/>
      <c r="U79" s="64" t="n"/>
    </row>
    <row r="80" hidden="1" ht="17.25" customHeight="1" s="326">
      <c r="B80" s="16" t="inlineStr">
        <is>
          <t>盛煜015C</t>
        </is>
      </c>
      <c r="C80" s="17" t="inlineStr">
        <is>
          <t>国泰君安</t>
        </is>
      </c>
      <c r="D80" s="18" t="n">
        <v>0.035</v>
      </c>
      <c r="E80" s="59" t="n">
        <v>0.035</v>
      </c>
      <c r="F80" s="17" t="n">
        <v>46000</v>
      </c>
      <c r="G80" s="680" t="n">
        <v>1450</v>
      </c>
      <c r="H80" s="21" t="n">
        <v>100</v>
      </c>
      <c r="I80" s="681" t="n"/>
      <c r="J80" s="680" t="n">
        <v>0</v>
      </c>
      <c r="K80" s="15" t="inlineStr">
        <is>
          <t>中建投</t>
        </is>
      </c>
      <c r="O80" s="64" t="n">
        <v>100</v>
      </c>
      <c r="P80" s="66" t="n">
        <v>46087</v>
      </c>
      <c r="Q80" s="64" t="n"/>
      <c r="R80" s="64" t="n"/>
      <c r="S80" s="64" t="n"/>
      <c r="T80" s="64" t="n"/>
      <c r="U80" s="64" t="n"/>
    </row>
    <row r="81" hidden="1" ht="17.25" customHeight="1" s="326">
      <c r="B81" s="16" t="inlineStr">
        <is>
          <t>25熠顺ABN001优先A3</t>
        </is>
      </c>
      <c r="C81" s="17" t="inlineStr">
        <is>
          <t>华宝</t>
        </is>
      </c>
      <c r="D81" s="18" t="n">
        <v>0.04</v>
      </c>
      <c r="E81" s="59" t="n">
        <v>0.04</v>
      </c>
      <c r="F81" s="17" t="n">
        <v>46000</v>
      </c>
      <c r="G81" s="680" t="n">
        <v>1000</v>
      </c>
      <c r="H81" s="21" t="n">
        <v>100</v>
      </c>
      <c r="I81" s="681" t="n"/>
      <c r="J81" s="680" t="n">
        <v>0</v>
      </c>
      <c r="N81" s="15" t="n">
        <v>1000</v>
      </c>
      <c r="O81" s="64" t="n">
        <v>100</v>
      </c>
      <c r="P81" s="66" t="n">
        <v>46030</v>
      </c>
      <c r="Q81" s="64" t="inlineStr">
        <is>
          <t>1、25熠顺ABN001优先A3[082580640.IB] ，1000w，100净价，应计利息0.26301，1月8日，云南信托云乾10号 云南信托 陈文利3004414705 to 天风证券 唐德婷qt 2885078648
2、25熠顺ABN001优先A3[082580640.IB] ，1000w，100净价，应计利息0.26301，1月8日，天风证券 唐德婷qt 2885078648 to 外贸信托-元康盛景1号 赵婷婷</t>
        </is>
      </c>
      <c r="R81" s="64" t="n"/>
      <c r="S81" s="64" t="n"/>
      <c r="T81" s="64" t="n"/>
      <c r="U81" s="64" t="n"/>
    </row>
    <row r="82" hidden="1" ht="17.25" customHeight="1" s="326">
      <c r="B82" s="16" t="inlineStr">
        <is>
          <t>25弗迪租赁ABN001次级(绿色)</t>
        </is>
      </c>
      <c r="C82" s="17" t="inlineStr">
        <is>
          <t>中金投顾</t>
        </is>
      </c>
      <c r="D82" s="18" t="n">
        <v>0.05</v>
      </c>
      <c r="E82" s="59" t="n">
        <v>0.045</v>
      </c>
      <c r="F82" s="17" t="n">
        <v>46006</v>
      </c>
      <c r="G82" s="680" t="n">
        <v>3000</v>
      </c>
      <c r="H82" s="21" t="n">
        <v>100.8082</v>
      </c>
      <c r="I82" s="681" t="n"/>
      <c r="J82" s="680" t="n">
        <v>0</v>
      </c>
      <c r="K82" s="15" t="inlineStr">
        <is>
          <t>要求3-2之前买回</t>
        </is>
      </c>
      <c r="M82" s="15">
        <f>6408000/657000000*100</f>
        <v/>
      </c>
      <c r="O82" s="702">
        <f>H82*(1+4.5%/365*(P82-F82))-M82</f>
        <v/>
      </c>
      <c r="P82" s="66" t="n">
        <v>46083</v>
      </c>
      <c r="Q82" s="64" t="inlineStr">
        <is>
          <t>3/2+0,  25弗迪租赁ABN001次级(绿色)[082580900.IB],3000w,全价100.7898 百瑞信托瑞鑫17号【百瑞信托 张丽莹2881268916】 卖出 天风证券 唐德婷qt2885078648 
3/2+0,  25弗迪租赁ABN001次级(绿色)[082580900.IB],3000w,全价100.8098 天风证券 唐德婷qt2885078648 卖出  粤财信托吴海滨 2880690705</t>
        </is>
      </c>
      <c r="R82" s="64" t="n"/>
      <c r="S82" s="64" t="n"/>
      <c r="T82" s="64" t="n"/>
      <c r="U82" s="64" t="n"/>
    </row>
    <row r="83" hidden="1" ht="17.25" customHeight="1" s="326">
      <c r="B83" s="16" t="inlineStr">
        <is>
          <t>25弗迪租赁ABN001次级(绿色)</t>
        </is>
      </c>
      <c r="C83" s="17" t="inlineStr">
        <is>
          <t>华宝</t>
        </is>
      </c>
      <c r="D83" s="18" t="n">
        <v>0.05</v>
      </c>
      <c r="E83" s="59" t="n">
        <v>0.045</v>
      </c>
      <c r="F83" s="17" t="n">
        <v>46083</v>
      </c>
      <c r="G83" s="680" t="n">
        <v>3000</v>
      </c>
      <c r="H83" s="21" t="n">
        <v>100.8098</v>
      </c>
      <c r="I83" s="681" t="n"/>
      <c r="J83" s="680" t="n">
        <v>0</v>
      </c>
      <c r="N83" s="15" t="n">
        <v>3000</v>
      </c>
      <c r="O83" s="702" t="n">
        <v>100.4935</v>
      </c>
      <c r="P83" s="66" t="n">
        <v>46139</v>
      </c>
      <c r="Q83" s="64" t="n"/>
      <c r="R83" s="64" t="n"/>
      <c r="S83" s="64" t="n"/>
      <c r="T83" s="64" t="n"/>
      <c r="U83" s="64" t="n"/>
    </row>
    <row r="84" hidden="1" ht="17.25" customHeight="1" s="326">
      <c r="B84" s="16" t="inlineStr">
        <is>
          <t>铁建Y28C</t>
        </is>
      </c>
      <c r="C84" s="17" t="inlineStr">
        <is>
          <t>国泰君安</t>
        </is>
      </c>
      <c r="D84" s="18" t="n">
        <v>0.055</v>
      </c>
      <c r="E84" s="59" t="n">
        <v>0.045</v>
      </c>
      <c r="F84" s="17" t="n">
        <v>46006</v>
      </c>
      <c r="G84" s="680" t="n">
        <v>2860</v>
      </c>
      <c r="H84" s="21" t="n">
        <v>100</v>
      </c>
      <c r="I84" s="681" t="n"/>
      <c r="J84" s="680" t="n">
        <v>0</v>
      </c>
      <c r="K84" s="15" t="inlineStr">
        <is>
          <t>苏信</t>
        </is>
      </c>
      <c r="N84" s="15" t="n">
        <v>2860</v>
      </c>
      <c r="O84" s="703">
        <f>100*(1+E84/365*(P84-F84))</f>
        <v/>
      </c>
      <c r="P84" s="66" t="n">
        <v>46084</v>
      </c>
      <c r="Q84" s="0" t="inlineStr">
        <is>
          <t>铁建Y28C，267372.SH，2860w，100.962,3/3，国泰海通 樊文娟 to 苏信财富组合添利Z2502集合资金信托计划，徐健qq455768073</t>
        </is>
      </c>
      <c r="R84" s="64" t="n"/>
      <c r="S84" s="64" t="n"/>
      <c r="T84" s="64" t="n"/>
      <c r="U84" s="64" t="n"/>
    </row>
    <row r="85" hidden="1" ht="17.25" customHeight="1" s="326">
      <c r="B85" s="16" t="inlineStr">
        <is>
          <t>25光大环保ABN001次</t>
        </is>
      </c>
      <c r="C85" s="17" t="inlineStr">
        <is>
          <t>国泰君安</t>
        </is>
      </c>
      <c r="D85" s="18" t="n">
        <v>0.08</v>
      </c>
      <c r="E85" s="59" t="n">
        <v>0.07000000000000001</v>
      </c>
      <c r="F85" s="17" t="n">
        <v>46007</v>
      </c>
      <c r="G85" s="680" t="n">
        <v>4000</v>
      </c>
      <c r="H85" s="21" t="n">
        <v>100</v>
      </c>
      <c r="I85" s="681" t="n"/>
      <c r="J85" s="680" t="n">
        <v>0</v>
      </c>
      <c r="K85" s="45" t="n">
        <v>46036</v>
      </c>
      <c r="L85" s="688">
        <f>O85*N85/100</f>
        <v/>
      </c>
      <c r="N85" s="15" t="n">
        <v>3905</v>
      </c>
      <c r="O85" s="64">
        <f>ROUND((1+7%*(K85-F85)/365)*100,4)</f>
        <v/>
      </c>
      <c r="P85" s="66" t="n">
        <v>46036</v>
      </c>
      <c r="Q85" s="64" t="inlineStr">
        <is>
          <t>25光大环保ABN001次(碳中和债)[082581155.IB] ,3905w,100.5562,1月14日，t+0，国泰海通 xx to 朗瑞1号1期 孟亚琪</t>
        </is>
      </c>
      <c r="R85" s="64" t="n"/>
      <c r="S85" s="64" t="n"/>
      <c r="T85" s="64" t="n"/>
      <c r="U85" s="64" t="n"/>
    </row>
    <row r="86" hidden="1" ht="17.25" customHeight="1" s="326">
      <c r="B86" s="16" t="n"/>
      <c r="C86" s="17" t="n"/>
      <c r="D86" s="18" t="n"/>
      <c r="E86" s="59" t="n"/>
      <c r="F86" s="17" t="n"/>
      <c r="G86" s="680" t="n"/>
      <c r="H86" s="21" t="n"/>
      <c r="I86" s="681" t="n"/>
      <c r="J86" s="680" t="n"/>
      <c r="K86" s="45" t="n"/>
      <c r="L86" s="688">
        <f>O86*N86/100</f>
        <v/>
      </c>
      <c r="N86" s="15">
        <f>4000-N85</f>
        <v/>
      </c>
      <c r="O86" s="64">
        <f>O85</f>
        <v/>
      </c>
      <c r="P86" s="66" t="n">
        <v>46036</v>
      </c>
      <c r="Q86" s="64" t="inlineStr">
        <is>
          <t>25光大环保ABN001次(碳中和债)[082581155.IB] ,95w,100.5562,1月14日，t+0，国泰海通 xx to 外贸元康盛景1号 赵婷婷</t>
        </is>
      </c>
      <c r="R86" s="64" t="n"/>
      <c r="S86" s="64" t="n"/>
      <c r="T86" s="64" t="n"/>
      <c r="U86" s="64" t="n"/>
    </row>
    <row r="87" hidden="1" ht="17.25" customHeight="1" s="326">
      <c r="A87" s="15" t="inlineStr">
        <is>
          <t>9月到期</t>
        </is>
      </c>
      <c r="B87" s="16" t="inlineStr">
        <is>
          <t>25鼎柚3次级</t>
        </is>
      </c>
      <c r="C87" s="17" t="inlineStr">
        <is>
          <t>国泰君安</t>
        </is>
      </c>
      <c r="D87" s="18" t="n">
        <v>0.052</v>
      </c>
      <c r="E87" s="59" t="n">
        <v>0.045</v>
      </c>
      <c r="F87" s="17" t="n">
        <v>46007</v>
      </c>
      <c r="G87" s="680" t="n">
        <v>400</v>
      </c>
      <c r="H87" s="21" t="n">
        <v>101.1721</v>
      </c>
      <c r="I87" s="681" t="n"/>
      <c r="J87" s="680" t="n">
        <v>0</v>
      </c>
      <c r="N87" s="15" t="n">
        <v>1200</v>
      </c>
      <c r="O87" s="702">
        <f>H87*(1+E87/365*(P87-F87))</f>
        <v/>
      </c>
      <c r="P87" s="66" t="n">
        <v>46059</v>
      </c>
      <c r="Q87" s="64" t="inlineStr">
        <is>
          <t>25鼎柚3次级，2589212.IB，2-6, 1200w，101.8227，国泰海通 夏雪 to 外贸信托朗瑞1号5期 孟亚琪</t>
        </is>
      </c>
      <c r="R87" s="64" t="n"/>
      <c r="S87" s="64" t="n"/>
      <c r="T87" s="64" t="n"/>
      <c r="U87" s="64" t="n"/>
    </row>
    <row r="88" hidden="1" ht="17.25" customHeight="1" s="326">
      <c r="A88" s="15" t="inlineStr">
        <is>
          <t>9月到期</t>
        </is>
      </c>
      <c r="B88" s="16" t="inlineStr">
        <is>
          <t>25鼎柚3次级</t>
        </is>
      </c>
      <c r="C88" s="17" t="inlineStr">
        <is>
          <t>国泰君安</t>
        </is>
      </c>
      <c r="D88" s="18" t="n">
        <v>0.052</v>
      </c>
      <c r="E88" s="59" t="n">
        <v>0.045</v>
      </c>
      <c r="F88" s="17" t="n">
        <v>46009</v>
      </c>
      <c r="G88" s="680">
        <f>2200+1400</f>
        <v/>
      </c>
      <c r="H88" s="21" t="n">
        <v>101.1998</v>
      </c>
      <c r="I88" s="681" t="n"/>
      <c r="J88" s="680" t="n">
        <v>0</v>
      </c>
      <c r="O88" s="702">
        <f>H88*(1+E88/365*(P88-F88))</f>
        <v/>
      </c>
      <c r="P88" s="66" t="n">
        <v>46059</v>
      </c>
      <c r="Q88" s="64" t="n"/>
      <c r="R88" s="64" t="n"/>
      <c r="S88" s="64" t="n"/>
      <c r="T88" s="64" t="n"/>
      <c r="U88" s="64" t="n"/>
    </row>
    <row r="89" hidden="1" ht="17.25" customHeight="1" s="326">
      <c r="B89" s="424" t="n"/>
      <c r="C89" s="425" t="n"/>
      <c r="D89" s="426" t="n"/>
      <c r="E89" s="427" t="n"/>
      <c r="F89" s="425" t="n"/>
      <c r="G89" s="704" t="n"/>
      <c r="H89" s="429" t="n"/>
      <c r="I89" s="705" t="n"/>
      <c r="J89" s="704" t="n"/>
      <c r="N89" s="15" t="n">
        <v>400</v>
      </c>
      <c r="O89" s="702" t="n">
        <v>101.827</v>
      </c>
      <c r="P89" s="66" t="n">
        <v>46122</v>
      </c>
      <c r="Q89" s="0" t="inlineStr">
        <is>
          <t>25鼎柚3次级[2589212.IB]，400w，101.827，4月10日，国泰海通 冉雅婷 2881971956 to 外贸信托朗瑞1号5期  孟亚琪qt 2881131472</t>
        </is>
      </c>
      <c r="R89" s="64" t="n"/>
      <c r="S89" s="64" t="n"/>
      <c r="T89" s="64" t="n"/>
      <c r="U89" s="64" t="n"/>
    </row>
    <row r="90" hidden="1" ht="17.25" customHeight="1" s="326">
      <c r="B90" s="424" t="n"/>
      <c r="C90" s="425" t="n"/>
      <c r="D90" s="426" t="n"/>
      <c r="E90" s="427" t="n"/>
      <c r="F90" s="425" t="n"/>
      <c r="G90" s="704" t="n"/>
      <c r="H90" s="429" t="n"/>
      <c r="I90" s="705" t="n"/>
      <c r="J90" s="704" t="n"/>
      <c r="N90" s="15" t="n">
        <v>2400</v>
      </c>
      <c r="O90" s="702" t="n">
        <v>101.827</v>
      </c>
      <c r="P90" s="66" t="n">
        <v>46122</v>
      </c>
      <c r="Q90" s="0" t="inlineStr">
        <is>
          <t>25鼎柚3次级[2589212.IB]，2400w，101.827，4月10日，国泰海通 冉雅婷 2881971956 to 外贸信托-元康盛景1号 赵婷婷 qt2850551246</t>
        </is>
      </c>
      <c r="R90" s="64" t="n"/>
      <c r="S90" s="64" t="n"/>
      <c r="T90" s="64" t="n"/>
      <c r="U90" s="64" t="n"/>
    </row>
    <row r="91" hidden="1" ht="17.25" customHeight="1" s="326">
      <c r="B91" s="16" t="n"/>
      <c r="C91" s="17" t="n"/>
      <c r="D91" s="18" t="n"/>
      <c r="E91" s="59" t="n"/>
      <c r="F91" s="17" t="n"/>
      <c r="G91" s="680" t="n"/>
      <c r="H91" s="21" t="n"/>
      <c r="I91" s="681" t="n"/>
      <c r="J91" s="680" t="n"/>
      <c r="O91" s="702" t="n"/>
      <c r="P91" s="66" t="n"/>
      <c r="Q91" s="64" t="n"/>
      <c r="R91" s="64" t="n"/>
      <c r="S91" s="64" t="n"/>
      <c r="T91" s="64" t="n"/>
      <c r="U91" s="64" t="n"/>
    </row>
    <row r="92" hidden="1" ht="17.25" customHeight="1" s="326">
      <c r="B92" s="16" t="inlineStr">
        <is>
          <t>25和赢蔚能ABN002BC优先A2(科创)</t>
        </is>
      </c>
      <c r="C92" s="17" t="inlineStr">
        <is>
          <t>广发国际</t>
        </is>
      </c>
      <c r="D92" s="18" t="n">
        <v>0.05</v>
      </c>
      <c r="E92" s="59" t="n">
        <v>0.05</v>
      </c>
      <c r="F92" s="17" t="n">
        <v>46010</v>
      </c>
      <c r="G92" s="680" t="n">
        <v>4000</v>
      </c>
      <c r="H92" s="21" t="n">
        <v>100</v>
      </c>
      <c r="I92" s="681" t="n"/>
      <c r="J92" s="680" t="n">
        <v>0</v>
      </c>
      <c r="O92" s="64" t="n"/>
      <c r="P92" s="64" t="n"/>
      <c r="Q92" s="64" t="n"/>
      <c r="R92" s="64" t="n"/>
      <c r="S92" s="64" t="n"/>
      <c r="T92" s="64" t="n"/>
      <c r="U92" s="64" t="n"/>
    </row>
    <row r="93" ht="17.25" customHeight="1" s="326">
      <c r="B93" s="28" t="inlineStr">
        <is>
          <t>25和赢易鑫ABN001BC优先B</t>
        </is>
      </c>
      <c r="C93" s="47" t="inlineStr">
        <is>
          <t>国泰君安</t>
        </is>
      </c>
      <c r="D93" s="48" t="n">
        <v>0.038</v>
      </c>
      <c r="E93" s="49" t="n">
        <v>0.035</v>
      </c>
      <c r="F93" s="47" t="n">
        <v>46010</v>
      </c>
      <c r="G93" s="689" t="n">
        <v>1400</v>
      </c>
      <c r="H93" s="28" t="n">
        <v>101.4</v>
      </c>
      <c r="I93" s="690" t="n">
        <v>101.62904</v>
      </c>
      <c r="J93" s="689" t="n">
        <v>1400</v>
      </c>
      <c r="O93" s="64" t="n"/>
      <c r="P93" s="64" t="n"/>
      <c r="Q93" s="64" t="n"/>
      <c r="R93" s="64" t="n"/>
      <c r="S93" s="64" t="n"/>
      <c r="T93" s="64" t="n"/>
      <c r="U93" s="64" t="n"/>
    </row>
    <row r="94" hidden="1" ht="17.25" customHeight="1" s="326">
      <c r="B94" s="16" t="inlineStr">
        <is>
          <t>乐信12C  500210.SZ</t>
        </is>
      </c>
      <c r="C94" s="17" t="inlineStr">
        <is>
          <t>富民银行</t>
        </is>
      </c>
      <c r="D94" s="18" t="n">
        <v>0.03</v>
      </c>
      <c r="E94" s="59" t="n">
        <v>0.03</v>
      </c>
      <c r="F94" s="17" t="n">
        <v>46003</v>
      </c>
      <c r="G94" s="680" t="n">
        <v>1500</v>
      </c>
      <c r="H94" s="21" t="n">
        <v>100</v>
      </c>
      <c r="I94" s="681" t="n"/>
      <c r="J94" s="680" t="n">
        <v>0</v>
      </c>
      <c r="K94" s="15" t="inlineStr">
        <is>
          <t>苏信</t>
        </is>
      </c>
      <c r="N94" s="15" t="n">
        <v>1500</v>
      </c>
      <c r="O94" s="64" t="n">
        <v>100</v>
      </c>
      <c r="P94" s="66" t="n">
        <v>46038</v>
      </c>
      <c r="Q94" s="64" t="n"/>
      <c r="R94" s="64" t="n"/>
      <c r="S94" s="64" t="n"/>
      <c r="T94" s="64" t="n"/>
      <c r="U94" s="64" t="n"/>
    </row>
    <row r="95" hidden="1" ht="17.25" customHeight="1" s="326">
      <c r="B95" s="16" t="inlineStr">
        <is>
          <t>工鑫39次</t>
        </is>
      </c>
      <c r="C95" s="17" t="inlineStr">
        <is>
          <t>中金</t>
        </is>
      </c>
      <c r="D95" s="18" t="n">
        <v>0.065</v>
      </c>
      <c r="E95" s="59" t="n">
        <v>0.055</v>
      </c>
      <c r="F95" s="17" t="n">
        <v>46008</v>
      </c>
      <c r="G95" s="680" t="n">
        <v>1100</v>
      </c>
      <c r="H95" s="21" t="n">
        <v>102.845</v>
      </c>
      <c r="I95" s="681" t="n"/>
      <c r="J95" s="680" t="n">
        <v>0</v>
      </c>
      <c r="K95" s="15" t="inlineStr">
        <is>
          <t>苏信</t>
        </is>
      </c>
      <c r="O95" s="64">
        <f>ROUND(H95*(1+E95/365*(P95-F95)),3)</f>
        <v/>
      </c>
      <c r="P95" s="66" t="n">
        <v>46045</v>
      </c>
      <c r="Q95" s="565" t="inlineStr">
        <is>
          <t>工鑫39次,265852.SH,1100w,全价103.418，1月23日，厦门信托鑫鹭1号李丹萍3003775644 to 苏信财富组合添利Z2502，徐健qq455768073</t>
        </is>
      </c>
      <c r="R95" s="64" t="n"/>
      <c r="S95" s="64" t="n"/>
      <c r="T95" s="64" t="n"/>
      <c r="U95" s="64" t="n"/>
    </row>
    <row r="96" hidden="1" ht="17.25" customHeight="1" s="326">
      <c r="B96" s="16" t="inlineStr">
        <is>
          <t>工鑫41次</t>
        </is>
      </c>
      <c r="C96" s="17" t="inlineStr">
        <is>
          <t>中金</t>
        </is>
      </c>
      <c r="D96" s="18" t="n">
        <v>0.065</v>
      </c>
      <c r="E96" s="59" t="n">
        <v>0.055</v>
      </c>
      <c r="F96" s="17" t="n">
        <v>46008</v>
      </c>
      <c r="G96" s="680" t="n">
        <v>1260</v>
      </c>
      <c r="H96" s="21" t="n">
        <v>102.255</v>
      </c>
      <c r="I96" s="681" t="n"/>
      <c r="J96" s="680" t="n">
        <v>0</v>
      </c>
      <c r="K96" s="15" t="inlineStr">
        <is>
          <t>苏信</t>
        </is>
      </c>
      <c r="O96" s="64">
        <f>ROUND(H96*(1+E96/365*(P96-F96)),3)</f>
        <v/>
      </c>
      <c r="P96" s="66" t="n">
        <v>46045</v>
      </c>
      <c r="Q96" s="565" t="inlineStr">
        <is>
          <t>工鑫41次,266482.SH,1260w,全价102.825，1月23日，厦门信托鑫鹭1号李丹萍3003775644 to 苏信财富组合添利Z2502，徐健qq455768073</t>
        </is>
      </c>
      <c r="R96" s="64" t="n"/>
      <c r="S96" s="64" t="n"/>
      <c r="T96" s="64" t="n"/>
      <c r="U96" s="64" t="n"/>
    </row>
    <row r="97" hidden="1" ht="17.25" customHeight="1" s="326">
      <c r="B97" s="16" t="inlineStr">
        <is>
          <t>24京能3号ABN001次</t>
        </is>
      </c>
      <c r="C97" s="17" t="inlineStr">
        <is>
          <t>国泰君安</t>
        </is>
      </c>
      <c r="D97" s="18" t="n">
        <v>0.08500000000000001</v>
      </c>
      <c r="E97" s="59" t="inlineStr">
        <is>
          <t>5.5-6%</t>
        </is>
      </c>
      <c r="F97" s="17" t="n">
        <v>46021</v>
      </c>
      <c r="G97" s="680" t="n">
        <v>100</v>
      </c>
      <c r="H97" s="21" t="n">
        <v>100</v>
      </c>
      <c r="I97" s="681" t="n"/>
      <c r="J97" s="680" t="n">
        <v>0</v>
      </c>
      <c r="N97" s="15" t="n">
        <v>1000</v>
      </c>
      <c r="O97" s="15" t="n">
        <v>100.12</v>
      </c>
      <c r="P97" s="26" t="n">
        <v>46063</v>
      </c>
      <c r="Q97" s="683" t="inlineStr">
        <is>
          <t>24京能3号ABN001次 (082482325.IB)，1100w，100.12元/百元面值，2月10日，24京能3号ABN001次 (082482325.IB)，100w，100元/百元面值，12月30日，五矿信托和玉系列-元康盛景系列【2】号集合资金信托计划 to 国泰海通 冉雅婷</t>
        </is>
      </c>
      <c r="R97" s="64" t="n"/>
      <c r="S97" s="64" t="n"/>
      <c r="T97" s="64" t="n"/>
      <c r="U97" s="64" t="n"/>
    </row>
    <row r="98" hidden="1" ht="17.25" customHeight="1" s="326">
      <c r="B98" s="16" t="inlineStr">
        <is>
          <t>盛煜015C</t>
        </is>
      </c>
      <c r="C98" s="17" t="inlineStr">
        <is>
          <t>国泰君安</t>
        </is>
      </c>
      <c r="D98" s="18" t="n">
        <v>0.035</v>
      </c>
      <c r="E98" s="59" t="n">
        <v>0.035</v>
      </c>
      <c r="F98" s="17" t="n">
        <v>46029</v>
      </c>
      <c r="G98" s="680" t="n">
        <v>550</v>
      </c>
      <c r="H98" s="21" t="n">
        <v>100</v>
      </c>
      <c r="I98" s="681" t="n"/>
      <c r="J98" s="680" t="n">
        <v>0</v>
      </c>
      <c r="K98" s="15" t="inlineStr">
        <is>
          <t>中建投</t>
        </is>
      </c>
      <c r="O98" s="64" t="n">
        <v>100</v>
      </c>
      <c r="P98" s="66" t="n">
        <v>46087</v>
      </c>
      <c r="Q98" s="64" t="n"/>
      <c r="R98" s="64" t="n"/>
      <c r="S98" s="64" t="n"/>
      <c r="T98" s="64" t="n"/>
      <c r="U98" s="64" t="n"/>
    </row>
    <row r="99" hidden="1" ht="17.25" customHeight="1" s="326">
      <c r="B99" s="16" t="inlineStr">
        <is>
          <t>G蔚能1科</t>
        </is>
      </c>
      <c r="C99" s="17" t="inlineStr">
        <is>
          <t>渣打证券</t>
        </is>
      </c>
      <c r="D99" s="18" t="n">
        <v>0.06</v>
      </c>
      <c r="E99" s="59" t="n">
        <v>0.06</v>
      </c>
      <c r="F99" s="17" t="n">
        <v>46064</v>
      </c>
      <c r="G99" s="680" t="n">
        <v>5000</v>
      </c>
      <c r="H99" s="21" t="n">
        <v>100</v>
      </c>
      <c r="I99" s="681" t="n"/>
      <c r="J99" s="680" t="n">
        <v>0</v>
      </c>
      <c r="O99" s="703">
        <f>100*(1+6%/365*(P99-F99+1))</f>
        <v/>
      </c>
      <c r="P99" s="66" t="n">
        <v>46106</v>
      </c>
      <c r="Q99" s="64" t="inlineStr">
        <is>
          <t>to 元康26&amp;28号</t>
        </is>
      </c>
      <c r="R99" s="64" t="n"/>
      <c r="S99" s="64" t="n"/>
      <c r="T99" s="64" t="n"/>
      <c r="U99" s="64" t="n"/>
    </row>
    <row r="100" hidden="1" ht="17.25" customHeight="1" s="326">
      <c r="B100" s="322" t="inlineStr">
        <is>
          <t>25鑫驰1B</t>
        </is>
      </c>
      <c r="C100" s="17" t="inlineStr">
        <is>
          <t>华宝（厦门）</t>
        </is>
      </c>
      <c r="D100" s="18" t="n">
        <v>0.038</v>
      </c>
      <c r="E100" s="59" t="n">
        <v>0.038</v>
      </c>
      <c r="F100" s="304" t="n">
        <v>46079</v>
      </c>
      <c r="G100" s="680" t="n">
        <v>800</v>
      </c>
      <c r="H100" s="21" t="n">
        <v>101.5</v>
      </c>
      <c r="I100" s="681" t="n"/>
      <c r="J100" s="680" t="n">
        <v>0</v>
      </c>
      <c r="N100" s="15" t="n">
        <v>800</v>
      </c>
      <c r="O100" s="64" t="n">
        <v>101.5</v>
      </c>
      <c r="P100" s="66" t="n">
        <v>46094</v>
      </c>
      <c r="Q100" s="64" t="n"/>
      <c r="R100" s="64" t="n"/>
      <c r="S100" s="64" t="n"/>
      <c r="T100" s="64" t="n"/>
      <c r="U100" s="64" t="n"/>
    </row>
    <row r="101" hidden="1" ht="17.25" customHeight="1" s="326">
      <c r="B101" s="16" t="inlineStr">
        <is>
          <t>鑫驰4B</t>
        </is>
      </c>
      <c r="C101" s="17" t="inlineStr">
        <is>
          <t>渣打证券</t>
        </is>
      </c>
      <c r="D101" s="18" t="n">
        <v>0.0315</v>
      </c>
      <c r="E101" s="59" t="n">
        <v>0.0315</v>
      </c>
      <c r="F101" s="17" t="n">
        <v>46090</v>
      </c>
      <c r="G101" s="680" t="n">
        <v>1000</v>
      </c>
      <c r="H101" s="21" t="n">
        <v>100</v>
      </c>
      <c r="I101" s="681" t="n"/>
      <c r="J101" s="680" t="n">
        <v>1000</v>
      </c>
      <c r="N101" s="15" t="n">
        <v>1000</v>
      </c>
      <c r="O101" s="64" t="n">
        <v>100</v>
      </c>
      <c r="P101" s="66" t="n">
        <v>46108</v>
      </c>
      <c r="Q101" s="64" t="inlineStr">
        <is>
          <t>to 苏信Z2501</t>
        </is>
      </c>
      <c r="R101" s="64" t="n"/>
      <c r="S101" s="64" t="n"/>
      <c r="T101" s="64" t="n"/>
      <c r="U101" s="64" t="n"/>
    </row>
    <row r="102" ht="17.25" customHeight="1" s="326">
      <c r="B102" s="323" t="n"/>
      <c r="C102" s="17" t="n"/>
      <c r="D102" s="18" t="n"/>
      <c r="E102" s="59" t="n"/>
      <c r="F102" s="17" t="n"/>
      <c r="G102" s="680" t="n"/>
      <c r="H102" s="21" t="n"/>
      <c r="I102" s="681" t="n"/>
      <c r="J102" s="680" t="n"/>
      <c r="O102" s="64" t="n"/>
      <c r="P102" s="66" t="n"/>
      <c r="Q102" s="64" t="n"/>
      <c r="R102" s="64" t="n"/>
      <c r="S102" s="64" t="n"/>
      <c r="T102" s="64" t="n"/>
      <c r="U102" s="64" t="n"/>
    </row>
    <row r="103" hidden="1" ht="17.25" customHeight="1" s="326">
      <c r="B103" s="323" t="inlineStr">
        <is>
          <t>次级（26美团美好ABN001次，082680129）</t>
        </is>
      </c>
      <c r="C103" s="17" t="inlineStr">
        <is>
          <t>国泰君安</t>
        </is>
      </c>
      <c r="D103" s="18" t="n">
        <v>0.049</v>
      </c>
      <c r="E103" s="59" t="n">
        <v>0.04</v>
      </c>
      <c r="F103" s="17" t="n">
        <v>46097</v>
      </c>
      <c r="G103" s="680" t="n">
        <v>800</v>
      </c>
      <c r="H103" s="21" t="n">
        <v>100</v>
      </c>
      <c r="I103" s="681" t="n"/>
      <c r="J103" s="680" t="n">
        <v>0</v>
      </c>
      <c r="K103" s="15" t="inlineStr">
        <is>
          <t>给鹏雅119</t>
        </is>
      </c>
      <c r="N103" s="15" t="n">
        <v>800</v>
      </c>
      <c r="O103" s="64" t="n">
        <v>100.4635</v>
      </c>
      <c r="P103" s="66" t="n">
        <v>46140</v>
      </c>
      <c r="Q103" s="64" t="n"/>
      <c r="R103" s="64" t="n"/>
      <c r="S103" s="64" t="n"/>
      <c r="T103" s="64" t="n"/>
      <c r="U103" s="64" t="n"/>
    </row>
    <row r="104" ht="17.25" customHeight="1" s="326">
      <c r="B104" s="16" t="inlineStr">
        <is>
          <t xml:space="preserve">GC港华智慧能源01[121627.SZ] </t>
        </is>
      </c>
      <c r="C104" s="17" t="inlineStr">
        <is>
          <t>渣打证券</t>
        </is>
      </c>
      <c r="D104" s="18" t="n">
        <v>0.07000000000000001</v>
      </c>
      <c r="E104" s="59" t="n">
        <v>0.07000000000000001</v>
      </c>
      <c r="F104" s="17" t="n">
        <v>46098</v>
      </c>
      <c r="G104" s="680" t="n">
        <v>2000</v>
      </c>
      <c r="H104" s="21" t="n">
        <v>100</v>
      </c>
      <c r="I104" s="681" t="n"/>
      <c r="J104" s="680" t="n">
        <v>0</v>
      </c>
      <c r="O104" s="64" t="n"/>
      <c r="P104" s="66" t="n"/>
      <c r="Q104" s="64" t="n"/>
      <c r="R104" s="64" t="n"/>
      <c r="S104" s="64" t="n"/>
      <c r="T104" s="64" t="n"/>
      <c r="U104" s="64" t="n"/>
    </row>
    <row r="105" ht="17.25" customHeight="1" s="326">
      <c r="B105" s="16" t="inlineStr">
        <is>
          <t>25和赢蔚能ABN001BC优先A2(科创)</t>
        </is>
      </c>
      <c r="C105" s="17" t="inlineStr">
        <is>
          <t>华宝（粤财）</t>
        </is>
      </c>
      <c r="D105" s="18" t="n">
        <v>0.05</v>
      </c>
      <c r="E105" s="59" t="n">
        <v>0.05</v>
      </c>
      <c r="F105" s="17" t="n">
        <v>46098</v>
      </c>
      <c r="G105" s="680" t="n">
        <v>2500</v>
      </c>
      <c r="H105" s="21" t="n">
        <v>100.3</v>
      </c>
      <c r="I105" s="681" t="n"/>
      <c r="J105" s="680" t="n">
        <v>2500</v>
      </c>
      <c r="O105" s="64" t="n"/>
      <c r="P105" s="66" t="n"/>
      <c r="Q105" s="64" t="n"/>
      <c r="R105" s="64" t="n"/>
      <c r="S105" s="64" t="n"/>
      <c r="T105" s="64" t="n"/>
      <c r="U105" s="64" t="n"/>
    </row>
    <row r="106" ht="17.25" customHeight="1" s="326">
      <c r="B106" s="16" t="inlineStr">
        <is>
          <t>25和赢蔚能ABN001BC优先A2(科创)</t>
        </is>
      </c>
      <c r="C106" s="17" t="inlineStr">
        <is>
          <t>华宝（云南）</t>
        </is>
      </c>
      <c r="D106" s="18" t="n">
        <v>0.05</v>
      </c>
      <c r="E106" s="59" t="n">
        <v>0.05</v>
      </c>
      <c r="F106" s="17" t="n">
        <v>46098</v>
      </c>
      <c r="G106" s="680" t="n">
        <v>1500</v>
      </c>
      <c r="H106" s="21" t="n">
        <v>100.3</v>
      </c>
      <c r="I106" s="681" t="n"/>
      <c r="J106" s="680" t="n">
        <v>1500</v>
      </c>
      <c r="O106" s="64" t="n"/>
      <c r="P106" s="66" t="n"/>
      <c r="Q106" s="64" t="n"/>
      <c r="R106" s="64" t="n"/>
      <c r="S106" s="64" t="n"/>
      <c r="T106" s="64" t="n"/>
      <c r="U106" s="64" t="n"/>
    </row>
    <row r="107" ht="17.25" customHeight="1" s="326">
      <c r="B107" s="16" t="inlineStr">
        <is>
          <t>铁建081C（265587.SH）</t>
        </is>
      </c>
      <c r="C107" s="17" t="inlineStr">
        <is>
          <t>国泰海通</t>
        </is>
      </c>
      <c r="D107" s="18" t="n">
        <v>0.065</v>
      </c>
      <c r="E107" s="59" t="n">
        <v>0.045</v>
      </c>
      <c r="F107" s="17" t="n">
        <v>46100</v>
      </c>
      <c r="G107" s="680" t="n">
        <v>2675</v>
      </c>
      <c r="H107" s="21" t="n">
        <v>103.101</v>
      </c>
      <c r="I107" s="681" t="n"/>
      <c r="J107" s="680" t="n">
        <v>2675</v>
      </c>
      <c r="O107" s="64" t="n"/>
      <c r="P107" s="66" t="n"/>
      <c r="Q107" s="64" t="n"/>
      <c r="R107" s="64" t="n"/>
      <c r="S107" s="64" t="n"/>
      <c r="T107" s="64" t="n"/>
      <c r="U107" s="64" t="n"/>
    </row>
    <row r="108" ht="17.25" customHeight="1" s="326">
      <c r="B108" s="16" t="inlineStr">
        <is>
          <t>G铁建82C（266500.SH）</t>
        </is>
      </c>
      <c r="C108" s="17" t="inlineStr">
        <is>
          <t>国泰海通</t>
        </is>
      </c>
      <c r="D108" s="18" t="n">
        <v>0.065</v>
      </c>
      <c r="E108" s="59" t="n">
        <v>0.045</v>
      </c>
      <c r="F108" s="17" t="n">
        <v>46100</v>
      </c>
      <c r="G108" s="680" t="n">
        <v>620</v>
      </c>
      <c r="H108" s="21" t="n">
        <v>102.483</v>
      </c>
      <c r="I108" s="681" t="n"/>
      <c r="J108" s="680" t="n">
        <v>620</v>
      </c>
      <c r="O108" s="64" t="n"/>
      <c r="P108" s="458" t="n"/>
      <c r="Q108" s="64" t="n"/>
      <c r="R108" s="64" t="n"/>
      <c r="S108" s="64" t="n"/>
      <c r="T108" s="64" t="n"/>
      <c r="U108" s="64" t="n"/>
    </row>
    <row r="109" ht="17.25" customHeight="1" s="326">
      <c r="B109" s="16" t="inlineStr">
        <is>
          <t>铁建085C</t>
        </is>
      </c>
      <c r="C109" s="17" t="inlineStr">
        <is>
          <t>国泰海通</t>
        </is>
      </c>
      <c r="D109" s="18" t="n">
        <v>0.065</v>
      </c>
      <c r="E109" s="59" t="inlineStr">
        <is>
          <t>4.5%（我们是5.5%）</t>
        </is>
      </c>
      <c r="F109" s="17" t="n">
        <v>46111</v>
      </c>
      <c r="G109" s="680" t="n">
        <v>2500</v>
      </c>
      <c r="H109" s="21" t="n">
        <v>100</v>
      </c>
      <c r="I109" s="681" t="n"/>
      <c r="J109" s="680" t="n">
        <v>0</v>
      </c>
      <c r="N109" s="15" t="n">
        <v>550</v>
      </c>
      <c r="O109" s="64" t="n">
        <v>100.363</v>
      </c>
      <c r="P109" s="26" t="n">
        <v>46141</v>
      </c>
      <c r="Q109" s="64" t="inlineStr">
        <is>
          <t>外贸元康1</t>
        </is>
      </c>
      <c r="R109" s="64" t="n"/>
      <c r="S109" s="64" t="n"/>
      <c r="T109" s="64" t="n"/>
      <c r="U109" s="64" t="n"/>
    </row>
    <row r="110" ht="17.25" customHeight="1" s="326">
      <c r="B110" s="424" t="n"/>
      <c r="C110" s="425" t="n"/>
      <c r="D110" s="426" t="n"/>
      <c r="E110" s="427" t="n"/>
      <c r="F110" s="425" t="n"/>
      <c r="G110" s="704" t="n"/>
      <c r="H110" s="429" t="n"/>
      <c r="I110" s="705" t="n"/>
      <c r="J110" s="704" t="n"/>
      <c r="N110" s="15" t="n">
        <v>1950</v>
      </c>
      <c r="O110" s="64" t="n"/>
      <c r="P110" s="26" t="n">
        <v>46157</v>
      </c>
      <c r="Q110" s="64" t="inlineStr">
        <is>
          <t>苏信Z2603</t>
        </is>
      </c>
      <c r="R110" s="64" t="n"/>
      <c r="S110" s="64" t="n"/>
      <c r="T110" s="64" t="n"/>
      <c r="U110" s="64" t="n"/>
    </row>
    <row r="111" ht="17.25" customHeight="1" s="326">
      <c r="B111" s="16" t="inlineStr">
        <is>
          <t xml:space="preserve">24京能3号ABN001次 </t>
        </is>
      </c>
      <c r="C111" s="17" t="inlineStr">
        <is>
          <t>国泰海通</t>
        </is>
      </c>
      <c r="D111" s="18" t="n">
        <v>0.08500000000000001</v>
      </c>
      <c r="E111" s="59" t="n">
        <v>0.055</v>
      </c>
      <c r="F111" s="17" t="n">
        <v>46122</v>
      </c>
      <c r="G111" s="680" t="n">
        <v>500</v>
      </c>
      <c r="H111" s="21" t="n">
        <v>99.3</v>
      </c>
      <c r="I111" s="681" t="n"/>
      <c r="J111" s="680" t="n">
        <v>500</v>
      </c>
      <c r="O111" s="64" t="n"/>
      <c r="P111" s="66" t="n"/>
      <c r="Q111" s="64" t="n"/>
      <c r="R111" s="64" t="n"/>
      <c r="S111" s="64" t="n"/>
      <c r="T111" s="64" t="n"/>
      <c r="U111" s="64" t="n"/>
    </row>
    <row r="112" hidden="1" ht="17.25" customHeight="1" s="326">
      <c r="B112" s="16" t="inlineStr">
        <is>
          <t>诚远3B</t>
        </is>
      </c>
      <c r="C112" s="17" t="inlineStr">
        <is>
          <t>渣打证券</t>
        </is>
      </c>
      <c r="D112" s="18" t="n">
        <v>0.031</v>
      </c>
      <c r="E112" s="59" t="n">
        <v>0.031</v>
      </c>
      <c r="F112" s="17" t="n">
        <v>46129</v>
      </c>
      <c r="G112" s="680" t="n">
        <v>1500</v>
      </c>
      <c r="H112" s="21" t="n">
        <v>100</v>
      </c>
      <c r="I112" s="681" t="n"/>
      <c r="J112" s="680" t="n">
        <v>0</v>
      </c>
      <c r="N112" s="15" t="n">
        <v>1500</v>
      </c>
      <c r="O112" s="64" t="n">
        <v>100</v>
      </c>
      <c r="P112" s="66" t="n">
        <v>46154</v>
      </c>
      <c r="Q112" s="64" t="inlineStr">
        <is>
          <t>5/12，诚远3期优先B[500665.SZ]，1500w，净价100，渣打证券 to 芜湖元康 Z06308，刘靖涛qt3003993899</t>
        </is>
      </c>
      <c r="R112" s="64" t="n"/>
      <c r="S112" s="64" t="n"/>
      <c r="T112" s="64" t="n"/>
      <c r="U112" s="64" t="n"/>
    </row>
    <row r="113" ht="17.25" customHeight="1" s="326">
      <c r="B113" s="550" t="inlineStr">
        <is>
          <t>24京能3号ABN001次</t>
        </is>
      </c>
      <c r="C113" s="17" t="inlineStr">
        <is>
          <t>国泰海通</t>
        </is>
      </c>
      <c r="D113" s="18" t="n">
        <v>0.08500000000000001</v>
      </c>
      <c r="E113" s="553" t="n">
        <v>0.055</v>
      </c>
      <c r="F113" s="551" t="n">
        <v>46160</v>
      </c>
      <c r="G113" s="706" t="n">
        <v>2010</v>
      </c>
      <c r="H113" s="555" t="n">
        <v>101.2342</v>
      </c>
      <c r="I113" s="707" t="n"/>
      <c r="J113" s="706" t="n">
        <v>2010</v>
      </c>
      <c r="O113" s="64" t="n"/>
      <c r="P113" s="66" t="n"/>
      <c r="Q113" s="64" t="n"/>
      <c r="R113" s="64" t="n"/>
      <c r="S113" s="64" t="n"/>
      <c r="T113" s="64" t="n"/>
      <c r="U113" s="64" t="n"/>
    </row>
    <row r="114" ht="17.25" customHeight="1" s="326">
      <c r="B114" s="550" t="n"/>
      <c r="C114" s="551" t="n"/>
      <c r="D114" s="552" t="n"/>
      <c r="E114" s="553" t="n"/>
      <c r="F114" s="551" t="n"/>
      <c r="G114" s="706" t="n"/>
      <c r="H114" s="555" t="n"/>
      <c r="I114" s="707" t="n"/>
      <c r="J114" s="706" t="n"/>
      <c r="O114" s="64" t="n"/>
      <c r="P114" s="66" t="n"/>
      <c r="Q114" s="64" t="n"/>
      <c r="R114" s="64" t="n"/>
      <c r="S114" s="64" t="n"/>
      <c r="T114" s="64" t="n"/>
      <c r="U114" s="64" t="n"/>
    </row>
    <row r="115" ht="17.25" customHeight="1" s="326">
      <c r="B115" s="424" t="inlineStr">
        <is>
          <t xml:space="preserve">	申港通合</t>
        </is>
      </c>
      <c r="C115" s="17" t="inlineStr">
        <is>
          <t>渣打证券</t>
        </is>
      </c>
      <c r="D115" s="426" t="n">
        <v>0.073</v>
      </c>
      <c r="E115" s="427" t="n">
        <v>0.073</v>
      </c>
      <c r="F115" s="425" t="n">
        <v>46127</v>
      </c>
      <c r="G115" s="704" t="n">
        <v>1700</v>
      </c>
      <c r="H115" s="429" t="n">
        <v>100</v>
      </c>
      <c r="I115" s="705" t="n"/>
      <c r="J115" s="704" t="n">
        <v>1700</v>
      </c>
      <c r="O115" s="64" t="n"/>
      <c r="P115" s="66" t="n"/>
      <c r="Q115" s="64" t="n"/>
      <c r="R115" s="64" t="n"/>
      <c r="S115" s="64" t="n"/>
      <c r="T115" s="64" t="n"/>
      <c r="U115" s="64" t="n"/>
    </row>
    <row r="116" ht="17.25" customHeight="1" s="326">
      <c r="B116" s="424" t="inlineStr">
        <is>
          <t>鑫驰5B</t>
        </is>
      </c>
      <c r="C116" s="459" t="inlineStr">
        <is>
          <t>渣打证券</t>
        </is>
      </c>
      <c r="D116" s="426" t="n">
        <v>0.0315</v>
      </c>
      <c r="E116" s="427" t="n">
        <v>0.0315</v>
      </c>
      <c r="F116" s="425" t="n">
        <v>46135</v>
      </c>
      <c r="G116" s="704" t="n">
        <v>2000</v>
      </c>
      <c r="H116" s="429" t="n">
        <v>100</v>
      </c>
      <c r="I116" s="705" t="n"/>
      <c r="J116" s="704" t="n">
        <v>0</v>
      </c>
      <c r="N116" s="15" t="n">
        <v>2000</v>
      </c>
      <c r="O116" s="64" t="n">
        <v>100</v>
      </c>
      <c r="P116" s="66" t="n">
        <v>46161</v>
      </c>
      <c r="Q116" s="64" t="n"/>
      <c r="R116" s="64" t="n"/>
      <c r="S116" s="64" t="n"/>
      <c r="T116" s="64" t="n"/>
      <c r="U116" s="64" t="n"/>
    </row>
    <row r="117" ht="17.25" customHeight="1" s="326">
      <c r="B117" s="16" t="inlineStr">
        <is>
          <t>国金02A</t>
        </is>
      </c>
      <c r="C117" s="459" t="inlineStr">
        <is>
          <t>渣打证券</t>
        </is>
      </c>
      <c r="D117" s="18" t="n">
        <v>0.033</v>
      </c>
      <c r="E117" s="59" t="n">
        <v>0.033</v>
      </c>
      <c r="F117" s="17" t="n">
        <v>46140</v>
      </c>
      <c r="G117" s="680" t="n">
        <v>900</v>
      </c>
      <c r="H117" s="21" t="n">
        <v>100</v>
      </c>
      <c r="I117" s="681" t="n"/>
      <c r="J117" s="680" t="n">
        <v>0</v>
      </c>
      <c r="N117" s="15" t="n">
        <v>900</v>
      </c>
      <c r="O117" s="64" t="n">
        <v>100</v>
      </c>
      <c r="P117" s="66" t="n">
        <v>46161</v>
      </c>
      <c r="Q117" s="64" t="n"/>
      <c r="R117" s="64" t="n"/>
      <c r="S117" s="64" t="n"/>
      <c r="T117" s="64" t="n"/>
      <c r="U117" s="64" t="n"/>
    </row>
    <row r="118" ht="17.25" customHeight="1" s="326">
      <c r="B118" s="16" t="inlineStr">
        <is>
          <t>G蔚能1B</t>
        </is>
      </c>
      <c r="C118" s="459" t="inlineStr">
        <is>
          <t>渣打证券</t>
        </is>
      </c>
      <c r="D118" s="18" t="n">
        <v>0.056</v>
      </c>
      <c r="E118" s="59" t="n">
        <v>0.056</v>
      </c>
      <c r="F118" s="17" t="n">
        <v>46142</v>
      </c>
      <c r="G118" s="680" t="n">
        <v>2500</v>
      </c>
      <c r="H118" s="21" t="n">
        <v>100</v>
      </c>
      <c r="I118" s="681" t="n"/>
      <c r="J118" s="680" t="n">
        <v>2500</v>
      </c>
      <c r="O118" s="64" t="n"/>
      <c r="P118" s="66" t="n"/>
      <c r="Q118" s="64" t="n"/>
      <c r="R118" s="64" t="n"/>
      <c r="S118" s="64" t="n"/>
      <c r="T118" s="64" t="n"/>
      <c r="U118" s="64" t="n"/>
    </row>
    <row r="119" ht="17.25" customHeight="1" s="326">
      <c r="B119" s="424" t="inlineStr">
        <is>
          <t>国健11B</t>
        </is>
      </c>
      <c r="C119" s="549" t="inlineStr">
        <is>
          <t>渣打证券</t>
        </is>
      </c>
      <c r="D119" s="426" t="n">
        <v>0.03</v>
      </c>
      <c r="E119" s="427" t="n">
        <v>0.03</v>
      </c>
      <c r="F119" s="425" t="n">
        <v>46131</v>
      </c>
      <c r="G119" s="704" t="n">
        <v>1000</v>
      </c>
      <c r="H119" s="429" t="n">
        <v>100</v>
      </c>
      <c r="I119" s="705" t="n"/>
      <c r="J119" s="704" t="n">
        <v>1000</v>
      </c>
      <c r="O119" s="64" t="n"/>
      <c r="P119" s="66" t="n"/>
      <c r="Q119" s="64" t="n"/>
      <c r="R119" s="64" t="n"/>
      <c r="S119" s="64" t="n"/>
      <c r="T119" s="64" t="n"/>
      <c r="U119" s="64" t="n"/>
    </row>
    <row r="120" ht="17.25" customHeight="1" s="326">
      <c r="B120" s="424" t="n"/>
      <c r="C120" s="432" t="n"/>
      <c r="D120" s="426" t="n"/>
      <c r="E120" s="427" t="n"/>
      <c r="F120" s="425" t="n"/>
      <c r="G120" s="704" t="n"/>
      <c r="H120" s="429" t="n"/>
      <c r="I120" s="705" t="n"/>
      <c r="J120" s="704" t="n"/>
      <c r="O120" s="64" t="n"/>
      <c r="P120" s="66" t="n"/>
      <c r="Q120" s="64" t="n"/>
      <c r="R120" s="64" t="n"/>
      <c r="S120" s="64" t="n"/>
      <c r="T120" s="64" t="n"/>
      <c r="U120" s="64" t="n"/>
    </row>
    <row r="121" ht="17.25" customHeight="1" s="326">
      <c r="B121" s="16" t="n"/>
      <c r="C121" s="17" t="n"/>
      <c r="D121" s="18" t="n"/>
      <c r="E121" s="59" t="n"/>
      <c r="F121" s="17" t="n"/>
      <c r="G121" s="680" t="n"/>
      <c r="H121" s="21" t="n"/>
      <c r="I121" s="681" t="n"/>
      <c r="J121" s="680" t="n"/>
      <c r="N121" s="205">
        <f>XIRR(N195:N197,M195:M197)</f>
        <v/>
      </c>
      <c r="O121" s="64" t="n"/>
      <c r="P121" s="64" t="n"/>
      <c r="Q121" s="64" t="n"/>
      <c r="R121" s="64" t="n"/>
      <c r="S121" s="64" t="n"/>
      <c r="T121" s="64" t="n"/>
      <c r="U121" s="64" t="n"/>
    </row>
    <row r="122" hidden="1" ht="17.25" customHeight="1" s="326">
      <c r="B122" s="24" t="inlineStr">
        <is>
          <t>35%集中度</t>
        </is>
      </c>
      <c r="D122" s="24" t="n"/>
      <c r="E122" s="24" t="inlineStr">
        <is>
          <t>给苏信</t>
        </is>
      </c>
      <c r="F122" s="68" t="inlineStr">
        <is>
          <t>证券名称</t>
        </is>
      </c>
      <c r="G122" s="68" t="inlineStr">
        <is>
          <t>评级</t>
        </is>
      </c>
      <c r="H122" s="68" t="inlineStr">
        <is>
          <t>规模</t>
        </is>
      </c>
      <c r="I122" s="68" t="inlineStr">
        <is>
          <t>价格</t>
        </is>
      </c>
      <c r="J122" s="68" t="inlineStr">
        <is>
          <t>交易对手</t>
        </is>
      </c>
      <c r="K122" s="68" t="inlineStr">
        <is>
          <t>票息</t>
        </is>
      </c>
      <c r="L122" s="68" t="inlineStr">
        <is>
          <t>预计后手</t>
        </is>
      </c>
      <c r="M122" s="68" t="inlineStr">
        <is>
          <t>原始权益人</t>
        </is>
      </c>
      <c r="N122" s="68" t="inlineStr">
        <is>
          <t>资产类型</t>
        </is>
      </c>
      <c r="O122" s="68" t="inlineStr">
        <is>
          <t>预计到期日</t>
        </is>
      </c>
      <c r="P122" s="68" t="inlineStr">
        <is>
          <t>交易时间</t>
        </is>
      </c>
      <c r="Q122" s="68" t="inlineStr">
        <is>
          <t>交易净价</t>
        </is>
      </c>
      <c r="R122" s="68" t="inlineStr">
        <is>
          <t>应计利息</t>
        </is>
      </c>
      <c r="S122" s="68" t="inlineStr">
        <is>
          <t>预计全价</t>
        </is>
      </c>
      <c r="T122" s="68" t="inlineStr">
        <is>
          <t>预计规模</t>
        </is>
      </c>
      <c r="U122" s="69" t="inlineStr">
        <is>
          <t>过桥方</t>
        </is>
      </c>
      <c r="V122" s="68" t="inlineStr">
        <is>
          <t>过桥价格</t>
        </is>
      </c>
    </row>
    <row r="123" hidden="1" ht="17.25" customHeight="1" s="326">
      <c r="B123" s="24" t="inlineStr">
        <is>
          <t>80% AA</t>
        </is>
      </c>
      <c r="C123" s="15" t="inlineStr">
        <is>
          <t>工信回报8号</t>
        </is>
      </c>
      <c r="D123" s="70" t="n"/>
      <c r="E123" s="24" t="n"/>
      <c r="F123" s="68" t="inlineStr">
        <is>
          <t>鑫诚4B</t>
        </is>
      </c>
      <c r="G123" s="68" t="inlineStr">
        <is>
          <t>AA+</t>
        </is>
      </c>
      <c r="H123" s="708" t="n">
        <v>800</v>
      </c>
      <c r="I123" s="68" t="n">
        <v>100</v>
      </c>
      <c r="J123" s="68" t="inlineStr">
        <is>
          <t>扬讯</t>
        </is>
      </c>
      <c r="K123" s="72" t="n">
        <v>0.036</v>
      </c>
      <c r="L123" s="72" t="n">
        <v>0.036</v>
      </c>
      <c r="M123" s="68" t="inlineStr">
        <is>
          <t>易鑫</t>
        </is>
      </c>
      <c r="N123" s="68" t="inlineStr">
        <is>
          <t>汽车分期</t>
        </is>
      </c>
      <c r="O123" s="73" t="n">
        <v>46752</v>
      </c>
      <c r="P123" s="74" t="n">
        <v>45862</v>
      </c>
      <c r="Q123" s="709" t="n">
        <v>100.005</v>
      </c>
      <c r="R123" s="709" t="n">
        <v>0.976438</v>
      </c>
      <c r="S123" s="710">
        <f>Q123+R123</f>
        <v/>
      </c>
      <c r="T123" s="711">
        <f>S123*H123/100</f>
        <v/>
      </c>
      <c r="U123" s="69" t="inlineStr">
        <is>
          <t>扬讯</t>
        </is>
      </c>
      <c r="V123" s="709">
        <f>Q123-I123</f>
        <v/>
      </c>
      <c r="W123" s="688">
        <f>V123*H123*100</f>
        <v/>
      </c>
      <c r="X123" s="688" t="n"/>
    </row>
    <row r="124" hidden="1" ht="17.25" customHeight="1" s="326">
      <c r="B124" s="24" t="inlineStr">
        <is>
          <t>双25%</t>
        </is>
      </c>
      <c r="C124" s="15" t="inlineStr">
        <is>
          <t>工信回报8号</t>
        </is>
      </c>
      <c r="D124" s="70" t="n"/>
      <c r="E124" s="24" t="n"/>
      <c r="F124" s="68" t="inlineStr">
        <is>
          <t>睿铭3B</t>
        </is>
      </c>
      <c r="G124" s="68" t="inlineStr">
        <is>
          <t>AA+</t>
        </is>
      </c>
      <c r="H124" s="708" t="n">
        <v>800</v>
      </c>
      <c r="I124" s="68" t="n">
        <v>100</v>
      </c>
      <c r="J124" s="68" t="inlineStr">
        <is>
          <t>扬讯</t>
        </is>
      </c>
      <c r="K124" s="72" t="n">
        <v>0.033</v>
      </c>
      <c r="L124" s="72" t="n">
        <v>0.033</v>
      </c>
      <c r="M124" s="68" t="inlineStr">
        <is>
          <t>金城银行</t>
        </is>
      </c>
      <c r="N124" s="68" t="inlineStr">
        <is>
          <t>小微贷</t>
        </is>
      </c>
      <c r="O124" s="73" t="n">
        <v>46256</v>
      </c>
      <c r="P124" s="74" t="n">
        <v>45862</v>
      </c>
      <c r="Q124" s="709" t="n">
        <v>100.005</v>
      </c>
      <c r="R124" s="709" t="n">
        <v>0.027123</v>
      </c>
      <c r="S124" s="710">
        <f>Q124+R124</f>
        <v/>
      </c>
      <c r="T124" s="711">
        <f>S124*H124/100</f>
        <v/>
      </c>
      <c r="U124" s="69" t="inlineStr">
        <is>
          <t>扬讯</t>
        </is>
      </c>
      <c r="V124" s="709">
        <f>Q124-I124</f>
        <v/>
      </c>
      <c r="W124" s="688">
        <f>V124*H124*100</f>
        <v/>
      </c>
      <c r="X124" s="688" t="n"/>
    </row>
    <row r="125" hidden="1" ht="17.25" customHeight="1" s="326">
      <c r="B125" s="24" t="n"/>
      <c r="C125" s="24" t="inlineStr">
        <is>
          <t>工信回报8号</t>
        </is>
      </c>
      <c r="D125" s="70" t="n"/>
      <c r="E125" s="24" t="n"/>
      <c r="F125" s="68" t="inlineStr">
        <is>
          <t>星灿6A3</t>
        </is>
      </c>
      <c r="G125" s="68" t="inlineStr">
        <is>
          <t>AAA</t>
        </is>
      </c>
      <c r="H125" s="708" t="n">
        <v>820</v>
      </c>
      <c r="I125" s="68" t="n">
        <v>100</v>
      </c>
      <c r="J125" s="68" t="inlineStr">
        <is>
          <t>扬讯</t>
        </is>
      </c>
      <c r="K125" s="72" t="n">
        <v>0.043</v>
      </c>
      <c r="L125" s="72" t="n">
        <v>0.043</v>
      </c>
      <c r="M125" s="68" t="inlineStr">
        <is>
          <t>平安普惠</t>
        </is>
      </c>
      <c r="N125" s="68" t="inlineStr">
        <is>
          <t>小微贷</t>
        </is>
      </c>
      <c r="O125" s="73" t="n">
        <v>46461</v>
      </c>
      <c r="P125" s="74" t="n">
        <v>45862</v>
      </c>
      <c r="Q125" s="709" t="n">
        <v>100.005</v>
      </c>
      <c r="R125" s="709" t="n">
        <v>0.117808</v>
      </c>
      <c r="S125" s="710">
        <f>Q125+R125</f>
        <v/>
      </c>
      <c r="T125" s="711">
        <f>S125*H125/100</f>
        <v/>
      </c>
      <c r="U125" s="69" t="inlineStr">
        <is>
          <t>扬讯</t>
        </is>
      </c>
      <c r="V125" s="709">
        <f>Q125-I125</f>
        <v/>
      </c>
      <c r="W125" s="688">
        <f>V125*H125*100</f>
        <v/>
      </c>
      <c r="X125" s="688" t="n"/>
    </row>
    <row r="126" hidden="1" ht="17.25" customHeight="1" s="326">
      <c r="B126" s="24" t="n"/>
      <c r="C126" s="24" t="n"/>
      <c r="D126" s="70" t="n"/>
      <c r="E126" s="24" t="n"/>
      <c r="F126" s="78" t="inlineStr">
        <is>
          <t>鑫诚4B (264990.SH)，800w，净价100,2025-7-24，工信回报8号 2852821667 李欣欣 to 芜湖扬讯信息科技有限公司 瞿可歆qq 595189321</t>
        </is>
      </c>
      <c r="G126" s="68" t="n"/>
      <c r="H126" s="708" t="n"/>
      <c r="I126" s="68" t="n"/>
      <c r="J126" s="68" t="n"/>
      <c r="K126" s="72" t="n"/>
      <c r="L126" s="72" t="n"/>
      <c r="M126" s="68" t="n"/>
      <c r="N126" s="68" t="n"/>
      <c r="O126" s="73" t="n"/>
      <c r="P126" s="74" t="n"/>
      <c r="Q126" s="709" t="n"/>
      <c r="R126" s="709" t="n"/>
      <c r="S126" s="69" t="n"/>
      <c r="T126" s="69" t="n"/>
      <c r="U126" s="69" t="n"/>
      <c r="V126" s="709" t="n"/>
    </row>
    <row r="127" hidden="1" ht="17.25" customHeight="1" s="326">
      <c r="B127" s="24" t="n"/>
      <c r="C127" s="24" t="n"/>
      <c r="D127" s="70" t="n"/>
      <c r="E127" s="24" t="n"/>
      <c r="F127" s="78" t="inlineStr">
        <is>
          <t>鑫诚4B (264990.SH)，800w，净价100.005,2025-7-24，扬讯 to 苏信财富·组合添利Z2501集合资金信托计划，询价人：徐健，qq455768073；上交所交易商代码：063，交易员代码：Z06308； 约定号241</t>
        </is>
      </c>
      <c r="G127" s="68" t="n"/>
      <c r="H127" s="708" t="n"/>
      <c r="I127" s="68" t="n"/>
      <c r="J127" s="68" t="n"/>
      <c r="K127" s="72" t="n"/>
      <c r="L127" s="72" t="n"/>
      <c r="M127" s="68" t="n"/>
      <c r="N127" s="68" t="n"/>
      <c r="O127" s="73" t="n"/>
      <c r="P127" s="74" t="n"/>
      <c r="Q127" s="709" t="n"/>
      <c r="R127" s="709" t="n"/>
      <c r="S127" s="69" t="n"/>
      <c r="T127" s="69" t="n"/>
      <c r="U127" s="69" t="n"/>
      <c r="V127" s="709" t="n"/>
    </row>
    <row r="128" hidden="1" ht="17.25" customHeight="1" s="326">
      <c r="B128" s="24" t="n"/>
      <c r="C128" s="24" t="n"/>
      <c r="D128" s="70" t="n"/>
      <c r="E128" s="24" t="n"/>
      <c r="F128" s="78" t="inlineStr">
        <is>
          <t>睿铭3B (264170.SH),800w，净价100,2025-7-24，工信回报8号 2852821667 李欣欣 to 芜湖扬讯信息科技有限公司 瞿可歆qq 595189321</t>
        </is>
      </c>
      <c r="G128" s="68" t="n"/>
      <c r="H128" s="708" t="n"/>
      <c r="I128" s="68" t="n"/>
      <c r="J128" s="68" t="n"/>
      <c r="K128" s="72" t="n"/>
      <c r="L128" s="72" t="n"/>
      <c r="M128" s="68" t="n"/>
      <c r="N128" s="68" t="n"/>
      <c r="O128" s="73" t="n"/>
      <c r="P128" s="74" t="n"/>
      <c r="Q128" s="709" t="n"/>
      <c r="R128" s="709" t="n"/>
      <c r="S128" s="69" t="n"/>
      <c r="T128" s="69" t="n"/>
      <c r="U128" s="69" t="n"/>
      <c r="V128" s="709" t="n"/>
    </row>
    <row r="129" hidden="1" ht="17.25" customHeight="1" s="326">
      <c r="B129" s="24" t="n"/>
      <c r="C129" s="24" t="n"/>
      <c r="D129" s="70" t="n"/>
      <c r="E129" s="24" t="n"/>
      <c r="F129" s="78" t="inlineStr">
        <is>
          <t>睿铭3B (264170.SH),800w，净价100.005,2025-7-24，扬讯 to 苏信财富·组合添利Z2501集合资金信托计划，询价人：徐健，qq455768073；上交所交易商代码：063，交易员代码：Z06308； 约定号242</t>
        </is>
      </c>
      <c r="G129" s="68" t="n"/>
      <c r="H129" s="708" t="n"/>
      <c r="I129" s="68" t="n"/>
      <c r="J129" s="68" t="n"/>
      <c r="K129" s="72" t="n"/>
      <c r="L129" s="72" t="n"/>
      <c r="M129" s="68" t="n"/>
      <c r="N129" s="68" t="n"/>
      <c r="O129" s="73" t="n"/>
      <c r="P129" s="74" t="n"/>
      <c r="Q129" s="709" t="n"/>
      <c r="R129" s="709" t="n"/>
      <c r="S129" s="69" t="n"/>
      <c r="T129" s="69" t="n"/>
      <c r="U129" s="69" t="n"/>
      <c r="V129" s="709" t="n"/>
    </row>
    <row r="130" hidden="1" ht="17.25" customHeight="1" s="326">
      <c r="B130" s="24" t="n"/>
      <c r="C130" s="24" t="n"/>
      <c r="D130" s="70" t="n"/>
      <c r="E130" s="24" t="n"/>
      <c r="F130" s="78" t="inlineStr">
        <is>
          <t>星灿6A3 (146087.SZ),820w, 净价100,2025-7-24，工信回报8号 2852821667 李欣欣 to 芜湖扬讯信息科技有限公司 瞿可歆qq 595189321</t>
        </is>
      </c>
      <c r="G130" s="68" t="n"/>
      <c r="H130" s="708" t="n"/>
      <c r="I130" s="68" t="n"/>
      <c r="J130" s="68" t="n"/>
      <c r="K130" s="72" t="n"/>
      <c r="L130" s="72" t="n"/>
      <c r="M130" s="68" t="n"/>
      <c r="N130" s="68" t="n"/>
      <c r="O130" s="73" t="n"/>
      <c r="P130" s="74" t="n"/>
      <c r="Q130" s="709" t="n"/>
      <c r="R130" s="709" t="n"/>
      <c r="S130" s="69" t="n"/>
      <c r="T130" s="69" t="n"/>
      <c r="U130" s="69" t="n"/>
      <c r="V130" s="709" t="n"/>
    </row>
    <row r="131" hidden="1" ht="17.25" customHeight="1" s="326">
      <c r="B131" s="24" t="n"/>
      <c r="C131" s="24" t="n"/>
      <c r="D131" s="70" t="n"/>
      <c r="E131" s="24" t="n"/>
      <c r="F131" s="78" t="inlineStr">
        <is>
          <t>星灿6A3 (146087.SZ),820w, 净价100.005,2025-7-24，扬讯 to 苏信财富·组合添利Z2501集合资金信托计划，询价人：徐健，qq455768073；深交所交易商代码：000262，交易员代码：007A0001，交易主体代码：3600000001； 约定号257242</t>
        </is>
      </c>
      <c r="G131" s="68" t="n"/>
      <c r="H131" s="708" t="n"/>
      <c r="I131" s="68" t="n"/>
      <c r="J131" s="68" t="n"/>
      <c r="K131" s="72" t="n"/>
      <c r="L131" s="72" t="n"/>
      <c r="M131" s="68" t="n"/>
      <c r="N131" s="68" t="n"/>
      <c r="O131" s="73" t="n"/>
      <c r="P131" s="74" t="n"/>
      <c r="Q131" s="709" t="n"/>
      <c r="R131" s="709" t="n"/>
      <c r="S131" s="69" t="n"/>
      <c r="T131" s="69" t="n"/>
      <c r="U131" s="69" t="n"/>
      <c r="V131" s="709" t="n"/>
    </row>
    <row r="132" hidden="1" ht="17.25" customHeight="1" s="326">
      <c r="B132" s="24" t="n"/>
      <c r="C132" s="24" t="n"/>
      <c r="D132" s="70" t="n"/>
      <c r="E132" s="24" t="n"/>
      <c r="F132" s="78" t="n"/>
      <c r="G132" s="68" t="n"/>
      <c r="H132" s="708" t="n"/>
      <c r="I132" s="68" t="n"/>
      <c r="J132" s="68" t="n"/>
      <c r="K132" s="72" t="n"/>
      <c r="L132" s="72" t="n"/>
      <c r="M132" s="68" t="n"/>
      <c r="N132" s="68" t="n"/>
      <c r="O132" s="73" t="n"/>
      <c r="P132" s="74" t="n"/>
      <c r="Q132" s="709" t="n"/>
      <c r="R132" s="709" t="n"/>
      <c r="S132" s="69" t="n"/>
      <c r="T132" s="69" t="n"/>
      <c r="U132" s="69" t="n"/>
      <c r="V132" s="709" t="n"/>
    </row>
    <row r="133" hidden="1" ht="17.25" customHeight="1" s="326">
      <c r="B133" s="24" t="n"/>
      <c r="C133" s="24" t="n"/>
      <c r="D133" s="70" t="n"/>
      <c r="E133" s="24" t="n"/>
      <c r="F133" s="78" t="n"/>
      <c r="G133" s="68" t="n"/>
      <c r="H133" s="708" t="n"/>
      <c r="I133" s="68" t="n"/>
      <c r="J133" s="68" t="n"/>
      <c r="K133" s="72" t="n"/>
      <c r="L133" s="72" t="n"/>
      <c r="M133" s="68" t="n"/>
      <c r="N133" s="68" t="n"/>
      <c r="O133" s="73" t="n"/>
      <c r="P133" s="74" t="n"/>
      <c r="Q133" s="709" t="n"/>
      <c r="R133" s="709" t="n"/>
      <c r="S133" s="69" t="n"/>
      <c r="T133" s="69" t="n"/>
      <c r="U133" s="69" t="n"/>
      <c r="V133" s="709" t="n"/>
    </row>
    <row r="134" hidden="1" ht="17.25" customHeight="1" s="326">
      <c r="B134" s="24" t="n"/>
      <c r="C134" s="24" t="inlineStr">
        <is>
          <t>百瑞君集10号</t>
        </is>
      </c>
      <c r="D134" s="24" t="n"/>
      <c r="E134" s="24" t="n"/>
      <c r="F134" s="68" t="inlineStr">
        <is>
          <t>星灿6A3</t>
        </is>
      </c>
      <c r="G134" s="68" t="inlineStr">
        <is>
          <t>AAA</t>
        </is>
      </c>
      <c r="H134" s="708" t="n">
        <v>1680</v>
      </c>
      <c r="I134" s="68" t="n">
        <v>100</v>
      </c>
      <c r="J134" s="68" t="inlineStr">
        <is>
          <t>外贸</t>
        </is>
      </c>
      <c r="K134" s="72" t="n">
        <v>0.043</v>
      </c>
      <c r="L134" s="72" t="n">
        <v>0.043</v>
      </c>
      <c r="M134" s="68" t="inlineStr">
        <is>
          <t>平安普惠</t>
        </is>
      </c>
      <c r="N134" s="68" t="inlineStr">
        <is>
          <t>小微贷</t>
        </is>
      </c>
      <c r="O134" s="73" t="n">
        <v>46461</v>
      </c>
      <c r="P134" s="74" t="n">
        <v>45862</v>
      </c>
      <c r="Q134" s="709" t="n">
        <v>100</v>
      </c>
      <c r="R134" s="709" t="n">
        <v>0.117808</v>
      </c>
      <c r="S134" s="710">
        <f>Q134+R134</f>
        <v/>
      </c>
      <c r="T134" s="711">
        <f>S134*H134/100</f>
        <v/>
      </c>
      <c r="U134" s="69" t="n"/>
      <c r="V134" s="709" t="n"/>
    </row>
    <row r="135" hidden="1" ht="17.25" customHeight="1" s="326">
      <c r="B135" s="24" t="n"/>
      <c r="C135" s="68" t="inlineStr">
        <is>
          <t>国泰海通</t>
        </is>
      </c>
      <c r="D135" s="24" t="n"/>
      <c r="E135" s="24" t="n"/>
      <c r="F135" s="68" t="inlineStr">
        <is>
          <t>盛煜013C</t>
        </is>
      </c>
      <c r="G135" s="68" t="inlineStr">
        <is>
          <t>BBB</t>
        </is>
      </c>
      <c r="H135" s="708" t="n">
        <v>2000</v>
      </c>
      <c r="I135" s="68" t="n">
        <v>99.5</v>
      </c>
      <c r="J135" s="68" t="inlineStr">
        <is>
          <t>国泰海通</t>
        </is>
      </c>
      <c r="K135" s="72" t="n">
        <v>0.035</v>
      </c>
      <c r="L135" s="72" t="n">
        <v>0.04</v>
      </c>
      <c r="M135" s="68" t="inlineStr">
        <is>
          <t>京东</t>
        </is>
      </c>
      <c r="N135" s="68" t="inlineStr">
        <is>
          <t>企业主贷</t>
        </is>
      </c>
      <c r="O135" s="73" t="n">
        <v>46283</v>
      </c>
      <c r="P135" s="74" t="n">
        <v>45862</v>
      </c>
      <c r="Q135" s="709">
        <f>I135</f>
        <v/>
      </c>
      <c r="R135" s="709" t="n">
        <v>1.208219</v>
      </c>
      <c r="S135" s="710">
        <f>Q135+R135</f>
        <v/>
      </c>
      <c r="T135" s="711">
        <f>S135*H135/100</f>
        <v/>
      </c>
      <c r="U135" s="69" t="n"/>
      <c r="V135" s="709" t="n"/>
    </row>
    <row r="136" hidden="1" ht="17.25" customHeight="1" s="326">
      <c r="B136" s="24" t="n"/>
      <c r="C136" s="68" t="n"/>
      <c r="D136" s="24" t="n"/>
      <c r="E136" s="24" t="n"/>
      <c r="F136" s="78" t="inlineStr">
        <is>
          <t>星灿6A3 (146087.SZ)，1680w，净价100,2025-7-24，百瑞信托君集10号 2881268916 张闪闪  to 苏信财富·组合添利Z2501集合资金信托计划，询价人：徐健，qq455768073；深交所交易商代码：000262，交易员代码：007A0001，交易主体代码：3600000001； 约定号257243</t>
        </is>
      </c>
      <c r="G136" s="68" t="n"/>
      <c r="H136" s="708" t="n"/>
      <c r="I136" s="68" t="n"/>
      <c r="J136" s="68" t="n"/>
      <c r="K136" s="72" t="n"/>
      <c r="L136" s="72" t="n"/>
      <c r="M136" s="68" t="n"/>
      <c r="N136" s="68" t="n"/>
      <c r="O136" s="73" t="n"/>
      <c r="P136" s="74" t="n"/>
      <c r="Q136" s="709" t="n"/>
      <c r="R136" s="709" t="n"/>
      <c r="S136" s="710" t="n"/>
      <c r="T136" s="711" t="n"/>
      <c r="U136" s="69" t="n"/>
      <c r="V136" s="709" t="n"/>
    </row>
    <row r="137" hidden="1" ht="17.25" customHeight="1" s="326">
      <c r="B137" s="24" t="n"/>
      <c r="C137" s="68" t="n"/>
      <c r="D137" s="24" t="n"/>
      <c r="E137" s="24" t="n"/>
      <c r="F137" s="79" t="inlineStr">
        <is>
          <t>盛煜013C (264731.SH),2000w，净价99.5，2025-7-24，国泰海通 樊文娟qt2885347044 to 苏信财富·组合添利Z2501集合资金信托计划，询价人：徐健，qq455768073；上交所交易商代码：063，交易员代码：Z06308； 约定号243</t>
        </is>
      </c>
      <c r="G137" s="68" t="n"/>
      <c r="H137" s="708" t="n"/>
      <c r="I137" s="68" t="n"/>
      <c r="J137" s="68" t="n"/>
      <c r="K137" s="72" t="n"/>
      <c r="L137" s="72" t="n"/>
      <c r="M137" s="68" t="n"/>
      <c r="N137" s="68" t="n"/>
      <c r="O137" s="73" t="n"/>
      <c r="P137" s="74" t="n"/>
      <c r="Q137" s="709" t="n"/>
      <c r="R137" s="709" t="n"/>
      <c r="S137" s="710" t="n"/>
      <c r="T137" s="711" t="n"/>
      <c r="U137" s="69" t="n"/>
      <c r="V137" s="709" t="n"/>
    </row>
    <row r="138" hidden="1" ht="17.25" customHeight="1" s="326">
      <c r="B138" s="24" t="n"/>
      <c r="C138" s="68" t="n"/>
      <c r="D138" s="24" t="n"/>
      <c r="E138" s="24" t="n"/>
      <c r="F138" s="68" t="n"/>
      <c r="G138" s="68" t="n"/>
      <c r="H138" s="708" t="n"/>
      <c r="I138" s="68" t="n"/>
      <c r="J138" s="68" t="n"/>
      <c r="K138" s="72" t="n"/>
      <c r="L138" s="72" t="n"/>
      <c r="M138" s="68" t="n"/>
      <c r="N138" s="68" t="n"/>
      <c r="O138" s="73" t="n"/>
      <c r="P138" s="74" t="n"/>
      <c r="Q138" s="709" t="n"/>
      <c r="R138" s="709" t="n"/>
      <c r="S138" s="710" t="n"/>
      <c r="T138" s="711" t="n"/>
      <c r="U138" s="69" t="n"/>
      <c r="V138" s="709" t="n"/>
    </row>
    <row r="139" hidden="1" ht="17.25" customHeight="1" s="326">
      <c r="B139" s="24" t="n"/>
      <c r="C139" s="24" t="n"/>
      <c r="D139" s="24" t="n"/>
      <c r="E139" s="24" t="n"/>
      <c r="F139" s="68" t="inlineStr">
        <is>
          <t>荟享19号第5期中间级</t>
        </is>
      </c>
      <c r="G139" s="68" t="inlineStr">
        <is>
          <t>A+</t>
        </is>
      </c>
      <c r="H139" s="708" t="n">
        <v>0</v>
      </c>
      <c r="I139" s="68" t="n">
        <v>100</v>
      </c>
      <c r="J139" s="68" t="inlineStr">
        <is>
          <t>国泰海通</t>
        </is>
      </c>
      <c r="K139" s="72" t="n">
        <v>0.037</v>
      </c>
      <c r="L139" s="72" t="n">
        <v>0.037</v>
      </c>
      <c r="M139" s="68" t="inlineStr">
        <is>
          <t>京东</t>
        </is>
      </c>
      <c r="N139" s="68" t="inlineStr">
        <is>
          <t>金条</t>
        </is>
      </c>
      <c r="O139" s="73" t="n">
        <v>46471</v>
      </c>
      <c r="P139" s="74" t="n"/>
      <c r="Q139" s="709" t="n"/>
      <c r="R139" s="709" t="n"/>
      <c r="S139" s="69" t="n"/>
      <c r="T139" s="69" t="n"/>
      <c r="U139" s="69" t="n"/>
      <c r="V139" s="709" t="n"/>
    </row>
    <row r="140" hidden="1" ht="17.25" customHeight="1" s="326">
      <c r="B140" s="24" t="n"/>
      <c r="C140" s="24" t="inlineStr">
        <is>
          <t>鑫沅资产</t>
        </is>
      </c>
      <c r="D140" s="24" t="n"/>
      <c r="E140" s="24" t="n"/>
      <c r="F140" s="68" t="inlineStr">
        <is>
          <t>诚惠1B</t>
        </is>
      </c>
      <c r="G140" s="68" t="inlineStr">
        <is>
          <t>AA+</t>
        </is>
      </c>
      <c r="H140" s="708" t="n">
        <v>1500</v>
      </c>
      <c r="I140" s="68" t="n">
        <v>101.645</v>
      </c>
      <c r="J140" s="68" t="inlineStr">
        <is>
          <t>鑫沅资产</t>
        </is>
      </c>
      <c r="K140" s="72" t="n">
        <v>0.044</v>
      </c>
      <c r="L140" s="72" t="n">
        <v>0.035</v>
      </c>
      <c r="M140" s="68" t="inlineStr">
        <is>
          <t>诚泰租赁</t>
        </is>
      </c>
      <c r="N140" s="68" t="inlineStr">
        <is>
          <t>小微租赁</t>
        </is>
      </c>
      <c r="O140" s="73" t="n">
        <v>46472</v>
      </c>
      <c r="P140" s="74" t="n">
        <v>45862</v>
      </c>
      <c r="Q140" s="709" t="n">
        <v>101.65</v>
      </c>
      <c r="R140" s="709" t="n">
        <v>0.349589</v>
      </c>
      <c r="S140" s="710">
        <f>Q140+R140</f>
        <v/>
      </c>
      <c r="T140" s="711">
        <f>S140*H140/100</f>
        <v/>
      </c>
      <c r="U140" s="69" t="inlineStr">
        <is>
          <t>粤开</t>
        </is>
      </c>
      <c r="V140" s="709">
        <f>Q140-I140</f>
        <v/>
      </c>
      <c r="W140" s="688">
        <f>V140*H140*100</f>
        <v/>
      </c>
    </row>
    <row r="141" hidden="1" ht="17.25" customHeight="1" s="326">
      <c r="B141" s="24" t="n"/>
      <c r="C141" s="24" t="inlineStr">
        <is>
          <t>巍茂辉旺6号</t>
        </is>
      </c>
      <c r="D141" s="24" t="n"/>
      <c r="E141" s="24" t="n"/>
      <c r="F141" s="68" t="inlineStr">
        <is>
          <t>朗煜1A3</t>
        </is>
      </c>
      <c r="G141" s="68" t="inlineStr">
        <is>
          <t>AAA</t>
        </is>
      </c>
      <c r="H141" s="708" t="n">
        <v>1000</v>
      </c>
      <c r="I141" s="68" t="n">
        <v>100</v>
      </c>
      <c r="J141" s="68" t="inlineStr">
        <is>
          <t>百瑞</t>
        </is>
      </c>
      <c r="K141" s="72" t="n">
        <v>0.043</v>
      </c>
      <c r="L141" s="72" t="n">
        <v>0.043</v>
      </c>
      <c r="M141" s="68" t="inlineStr">
        <is>
          <t>平安普惠</t>
        </is>
      </c>
      <c r="N141" s="68" t="inlineStr">
        <is>
          <t>小微贷</t>
        </is>
      </c>
      <c r="O141" s="73" t="n">
        <v>46645</v>
      </c>
      <c r="P141" s="74" t="n">
        <v>45862</v>
      </c>
      <c r="Q141" s="709">
        <f>I141</f>
        <v/>
      </c>
      <c r="R141" s="709" t="n">
        <v>0.117808</v>
      </c>
      <c r="S141" s="710">
        <f>Q141+R141</f>
        <v/>
      </c>
      <c r="T141" s="711">
        <f>S141*H141/100</f>
        <v/>
      </c>
      <c r="U141" s="69" t="n"/>
      <c r="V141" s="709" t="n"/>
    </row>
    <row r="142" hidden="1" ht="17.25" customHeight="1" s="326">
      <c r="B142" s="24" t="n"/>
      <c r="C142" s="68" t="inlineStr">
        <is>
          <t>国泰海通</t>
        </is>
      </c>
      <c r="D142" s="24" t="n"/>
      <c r="E142" s="24" t="n"/>
      <c r="F142" s="68" t="inlineStr">
        <is>
          <t>耘睿192C</t>
        </is>
      </c>
      <c r="G142" s="68" t="inlineStr">
        <is>
          <t>A-</t>
        </is>
      </c>
      <c r="H142" s="708" t="n">
        <v>1000</v>
      </c>
      <c r="I142" s="68" t="n">
        <v>100.5</v>
      </c>
      <c r="J142" s="68" t="inlineStr">
        <is>
          <t>国泰海通</t>
        </is>
      </c>
      <c r="K142" s="72" t="n">
        <v>0.037</v>
      </c>
      <c r="L142" s="72" t="n">
        <v>0.033</v>
      </c>
      <c r="M142" s="68" t="inlineStr">
        <is>
          <t>京东</t>
        </is>
      </c>
      <c r="N142" s="68" t="inlineStr">
        <is>
          <t>白条</t>
        </is>
      </c>
      <c r="O142" s="73" t="n">
        <v>46409</v>
      </c>
      <c r="P142" s="74" t="n">
        <v>45862</v>
      </c>
      <c r="Q142" s="709">
        <f>I142</f>
        <v/>
      </c>
      <c r="R142" s="709" t="n">
        <v>1.814795</v>
      </c>
      <c r="S142" s="710">
        <f>Q142+R142</f>
        <v/>
      </c>
      <c r="T142" s="711">
        <f>S142*H142/100</f>
        <v/>
      </c>
      <c r="U142" s="69" t="n"/>
      <c r="V142" s="709" t="n"/>
    </row>
    <row r="143" hidden="1" ht="17.25" customHeight="1" s="326">
      <c r="B143" s="24" t="n"/>
      <c r="C143" s="68" t="inlineStr">
        <is>
          <t>国泰海通</t>
        </is>
      </c>
      <c r="D143" s="24" t="n"/>
      <c r="E143" s="24" t="n"/>
      <c r="F143" s="68" t="inlineStr">
        <is>
          <t>耘睿195C</t>
        </is>
      </c>
      <c r="G143" s="68" t="inlineStr">
        <is>
          <t>A-</t>
        </is>
      </c>
      <c r="H143" s="708" t="n">
        <v>1000</v>
      </c>
      <c r="I143" s="68" t="n">
        <v>100.5</v>
      </c>
      <c r="J143" s="68" t="inlineStr">
        <is>
          <t>国泰海通</t>
        </is>
      </c>
      <c r="K143" s="72" t="n">
        <v>0.036</v>
      </c>
      <c r="L143" s="72" t="n">
        <v>0.033</v>
      </c>
      <c r="M143" s="68" t="inlineStr">
        <is>
          <t>京东</t>
        </is>
      </c>
      <c r="N143" s="68" t="inlineStr">
        <is>
          <t>白条</t>
        </is>
      </c>
      <c r="O143" s="73" t="n">
        <v>46401</v>
      </c>
      <c r="P143" s="74" t="n">
        <v>45862</v>
      </c>
      <c r="Q143" s="709">
        <f>I143</f>
        <v/>
      </c>
      <c r="R143" s="709" t="n">
        <v>1.587945</v>
      </c>
      <c r="S143" s="710">
        <f>Q143+R143</f>
        <v/>
      </c>
      <c r="T143" s="711">
        <f>S143*H143/100</f>
        <v/>
      </c>
      <c r="U143" s="69" t="n"/>
      <c r="V143" s="709" t="n"/>
    </row>
    <row r="144" hidden="1" ht="17.25" customHeight="1" s="326">
      <c r="B144" s="24" t="n"/>
      <c r="C144" s="24" t="n"/>
      <c r="D144" s="24" t="n"/>
      <c r="E144" s="24" t="n"/>
      <c r="F144" s="24" t="inlineStr">
        <is>
          <t>诚惠1B (263867.SH)，1500w，101.645, 7-24，t+0，鑫沅资产鑫梅花635号 qt：胡竹影2355401515 to 粤开证券询价qt 2881647849</t>
        </is>
      </c>
      <c r="G144" s="24" t="n"/>
      <c r="H144" s="24" t="n"/>
      <c r="I144" s="24" t="n"/>
      <c r="J144" s="24" t="n"/>
      <c r="K144" s="24" t="n"/>
      <c r="L144" s="24" t="n"/>
      <c r="M144" s="24" t="n"/>
      <c r="N144" s="24" t="n"/>
      <c r="O144" s="24" t="n"/>
      <c r="P144" s="69" t="n"/>
      <c r="Q144" s="709" t="n"/>
      <c r="R144" s="709" t="n"/>
      <c r="S144" s="69" t="n"/>
      <c r="T144" s="69" t="n"/>
      <c r="U144" s="69" t="n"/>
    </row>
    <row r="145" hidden="1" ht="17.25" customHeight="1" s="326">
      <c r="B145" s="24" t="n"/>
      <c r="C145" s="24" t="n"/>
      <c r="D145" s="24" t="n"/>
      <c r="E145" s="24" t="n"/>
      <c r="F145" s="24" t="inlineStr">
        <is>
          <t>诚惠1B (263867.SH)，1500w，101.65, 7-24，t+0，粤开证券询价qt 2881647849 to 苏信财富·组合添利Z2501集合资金信托计划，询价人：徐健，qq455768073；上交所交易商代码：063，交易员代码：Z06308； 约定号244</t>
        </is>
      </c>
      <c r="G145" s="24" t="n"/>
      <c r="H145" s="24" t="n"/>
      <c r="I145" s="24" t="n"/>
      <c r="J145" s="24" t="n"/>
      <c r="K145" s="24" t="n"/>
      <c r="L145" s="24" t="n"/>
      <c r="M145" s="24" t="n"/>
      <c r="N145" s="24" t="n"/>
      <c r="O145" s="24" t="n"/>
      <c r="P145" s="69" t="n"/>
      <c r="Q145" s="709" t="n"/>
      <c r="R145" s="709" t="n"/>
      <c r="S145" s="69" t="n"/>
      <c r="T145" s="69" t="n"/>
      <c r="U145" s="69" t="n"/>
    </row>
    <row r="146" hidden="1" ht="17.25" customHeight="1" s="326">
      <c r="B146" s="24" t="n"/>
      <c r="C146" s="24" t="n"/>
      <c r="D146" s="24" t="n"/>
      <c r="E146" s="24" t="n"/>
      <c r="F146" s="24" t="inlineStr">
        <is>
          <t>朗煜1A3 (264213.SH)，1000w，净价100,7-24，t+0，巍茂辉旺6号 3004235366关思朴 to 苏信财富·组合添利Z2501集合资金信托计划，询价人：徐健，qq455768073；上交所交易商代码：063，交易员代码：Z06308； 约定号245</t>
        </is>
      </c>
      <c r="G146" s="24" t="n"/>
      <c r="H146" s="24" t="n"/>
      <c r="I146" s="24" t="n"/>
      <c r="J146" s="24" t="n"/>
      <c r="K146" s="24" t="n"/>
      <c r="L146" s="24" t="n"/>
      <c r="M146" s="24" t="n"/>
      <c r="N146" s="24" t="n"/>
      <c r="O146" s="24" t="n"/>
      <c r="P146" s="69" t="n"/>
      <c r="Q146" s="709" t="n"/>
      <c r="R146" s="709" t="n"/>
      <c r="S146" s="69" t="n"/>
      <c r="T146" s="69" t="n"/>
      <c r="U146" s="69" t="n"/>
    </row>
    <row r="147" hidden="1" ht="17.25" customHeight="1" s="326">
      <c r="B147" s="24" t="n"/>
      <c r="C147" s="24" t="n"/>
      <c r="D147" s="24" t="n"/>
      <c r="E147" s="24" t="n"/>
      <c r="F147" s="24" t="inlineStr">
        <is>
          <t>耘睿192C (264355.SH)，1000w，净价100.5，7-24，国泰海通 樊文娟qt2885347044 to 苏信财富·组合添利Z2501集合资金信托计划，询价人：徐健，qq455768073；上交所交易商代码：063，交易员代码：Z06308； 约定号246</t>
        </is>
      </c>
      <c r="G147" s="24" t="n"/>
      <c r="H147" s="24" t="n"/>
      <c r="I147" s="24" t="n"/>
      <c r="J147" s="24" t="n"/>
      <c r="K147" s="24" t="n"/>
      <c r="L147" s="24" t="n"/>
      <c r="M147" s="24" t="n"/>
      <c r="N147" s="24" t="n"/>
      <c r="O147" s="24" t="n"/>
      <c r="P147" s="69" t="n"/>
      <c r="Q147" s="709" t="n"/>
      <c r="R147" s="709" t="n"/>
      <c r="S147" s="69" t="n"/>
      <c r="T147" s="69" t="n"/>
      <c r="U147" s="69" t="n"/>
    </row>
    <row r="148" hidden="1" ht="17.25" customHeight="1" s="326">
      <c r="B148" s="24" t="n"/>
      <c r="C148" s="24" t="n"/>
      <c r="D148" s="24" t="n"/>
      <c r="E148" s="24" t="n"/>
      <c r="F148" s="24" t="inlineStr">
        <is>
          <t>耘睿195C (264540.SH)，1000w，净价100.5，7-24，国泰海通 樊文娟qt2885347044 to 苏信财富·组合添利Z2501集合资金信托计划，询价人：徐健，qq455768073；上交所交易商代码：063，交易员代码：Z06308； 约定号247</t>
        </is>
      </c>
      <c r="G148" s="24" t="n"/>
      <c r="H148" s="24" t="n"/>
      <c r="I148" s="24" t="n"/>
      <c r="J148" s="24" t="n"/>
      <c r="K148" s="24" t="n"/>
      <c r="L148" s="24" t="n"/>
      <c r="M148" s="24" t="n"/>
      <c r="N148" s="24" t="n"/>
      <c r="O148" s="24" t="n"/>
      <c r="P148" s="69" t="n"/>
      <c r="Q148" s="709" t="n"/>
      <c r="R148" s="709" t="n"/>
      <c r="S148" s="69" t="n"/>
      <c r="T148" s="69" t="n"/>
      <c r="U148" s="69" t="n"/>
    </row>
    <row r="149" hidden="1" ht="17.25" customHeight="1" s="326">
      <c r="B149" s="24" t="n"/>
      <c r="C149" s="24" t="n"/>
      <c r="D149" s="24" t="n"/>
      <c r="E149" s="24" t="n"/>
      <c r="F149" s="24" t="n"/>
      <c r="G149" s="24" t="n"/>
      <c r="H149" s="24" t="n"/>
      <c r="I149" s="24" t="n"/>
      <c r="J149" s="24" t="n"/>
      <c r="K149" s="24" t="n"/>
      <c r="L149" s="24" t="n"/>
      <c r="M149" s="24" t="n"/>
      <c r="N149" s="24" t="n"/>
      <c r="O149" s="24" t="n"/>
      <c r="P149" s="69" t="n"/>
      <c r="Q149" s="709" t="n"/>
      <c r="R149" s="709" t="n"/>
      <c r="S149" s="69" t="n"/>
      <c r="T149" s="69" t="n"/>
      <c r="U149" s="69" t="n"/>
    </row>
    <row r="150" hidden="1" ht="17.25" customHeight="1" s="326">
      <c r="B150" s="24" t="n"/>
      <c r="C150" s="24" t="n"/>
      <c r="D150" s="24" t="n"/>
      <c r="E150" s="24" t="n"/>
      <c r="F150" s="24" t="n"/>
      <c r="G150" s="24" t="n"/>
      <c r="H150" s="24" t="n"/>
      <c r="I150" s="24" t="n"/>
      <c r="J150" s="24" t="n"/>
      <c r="K150" s="24" t="n"/>
      <c r="L150" s="24" t="n"/>
      <c r="M150" s="24" t="n"/>
      <c r="N150" s="24" t="n"/>
      <c r="O150" s="24" t="n"/>
      <c r="P150" s="69" t="n"/>
      <c r="Q150" s="709" t="n"/>
      <c r="R150" s="709" t="n"/>
      <c r="S150" s="69" t="n"/>
      <c r="T150" s="69" t="n"/>
      <c r="U150" s="69" t="n"/>
    </row>
    <row r="151" hidden="1" ht="17.25" customFormat="1" customHeight="1" s="29">
      <c r="B151" s="37" t="n"/>
      <c r="C151" s="37" t="inlineStr">
        <is>
          <t>元康20号</t>
        </is>
      </c>
      <c r="D151" s="80" t="n"/>
      <c r="E151" s="80" t="inlineStr">
        <is>
          <t>基于估值</t>
        </is>
      </c>
      <c r="F151" s="80" t="inlineStr">
        <is>
          <t>23惠民3B</t>
        </is>
      </c>
      <c r="G151" s="80" t="inlineStr">
        <is>
          <t>AAA</t>
        </is>
      </c>
      <c r="H151" s="712" t="n">
        <v>1500</v>
      </c>
      <c r="I151" s="80" t="inlineStr">
        <is>
          <t>预计103</t>
        </is>
      </c>
      <c r="J151" s="80" t="inlineStr">
        <is>
          <t>过桥方待定</t>
        </is>
      </c>
      <c r="K151" s="82" t="n">
        <v>0.0575</v>
      </c>
      <c r="L151" s="82" t="n">
        <v>0.03</v>
      </c>
      <c r="M151" s="80" t="inlineStr">
        <is>
          <t>易鑫</t>
        </is>
      </c>
      <c r="N151" s="80" t="inlineStr">
        <is>
          <t>汽车分期</t>
        </is>
      </c>
      <c r="O151" s="83" t="n">
        <v>46292</v>
      </c>
      <c r="P151" s="84">
        <f>M185</f>
        <v/>
      </c>
      <c r="Q151" s="713">
        <f>N185</f>
        <v/>
      </c>
      <c r="R151" s="713">
        <f>S151-Q151</f>
        <v/>
      </c>
      <c r="S151" s="86">
        <f>O185</f>
        <v/>
      </c>
      <c r="T151" s="714">
        <f>Q185/10000</f>
        <v/>
      </c>
      <c r="U151" s="86" t="inlineStr">
        <is>
          <t>洮利5号</t>
        </is>
      </c>
    </row>
    <row r="152" hidden="1" ht="17.25" customFormat="1" customHeight="1" s="29">
      <c r="B152" s="37" t="n"/>
      <c r="C152" s="37" t="inlineStr">
        <is>
          <t>元康20号</t>
        </is>
      </c>
      <c r="D152" s="80" t="n"/>
      <c r="E152" s="80" t="inlineStr">
        <is>
          <t>基于估值</t>
        </is>
      </c>
      <c r="F152" s="80" t="inlineStr">
        <is>
          <t>安康3C</t>
        </is>
      </c>
      <c r="G152" s="80" t="inlineStr">
        <is>
          <t>AA+</t>
        </is>
      </c>
      <c r="H152" s="712" t="n">
        <v>1250</v>
      </c>
      <c r="I152" s="80" t="inlineStr">
        <is>
          <t>预计103</t>
        </is>
      </c>
      <c r="J152" s="80" t="inlineStr">
        <is>
          <t>过桥方待定</t>
        </is>
      </c>
      <c r="K152" s="82" t="n">
        <v>0.064</v>
      </c>
      <c r="L152" s="82" t="n">
        <v>0.03</v>
      </c>
      <c r="M152" s="80" t="inlineStr">
        <is>
          <t>平安银行</t>
        </is>
      </c>
      <c r="N152" s="80" t="inlineStr">
        <is>
          <t>小微贷</t>
        </is>
      </c>
      <c r="O152" s="83" t="n">
        <v>46229</v>
      </c>
      <c r="P152" s="84">
        <f>M186</f>
        <v/>
      </c>
      <c r="Q152" s="713">
        <f>N186</f>
        <v/>
      </c>
      <c r="R152" s="713">
        <f>S152-Q152</f>
        <v/>
      </c>
      <c r="S152" s="86">
        <f>O186</f>
        <v/>
      </c>
      <c r="T152" s="714">
        <f>Q186/10000</f>
        <v/>
      </c>
      <c r="U152" s="86" t="inlineStr">
        <is>
          <t>洮利5号</t>
        </is>
      </c>
    </row>
    <row r="153" hidden="1" ht="17.25" customFormat="1" customHeight="1" s="29">
      <c r="B153" s="37" t="n"/>
      <c r="C153" s="37" t="inlineStr">
        <is>
          <t>元康20号</t>
        </is>
      </c>
      <c r="D153" s="80" t="n"/>
      <c r="E153" s="80" t="n"/>
      <c r="F153" s="80" t="inlineStr">
        <is>
          <t>熠然05A3</t>
        </is>
      </c>
      <c r="G153" s="80" t="inlineStr">
        <is>
          <t>AAA</t>
        </is>
      </c>
      <c r="H153" s="712" t="n">
        <v>600</v>
      </c>
      <c r="I153" s="80" t="inlineStr">
        <is>
          <t>100.4预计</t>
        </is>
      </c>
      <c r="J153" s="80" t="inlineStr">
        <is>
          <t>过桥方待定</t>
        </is>
      </c>
      <c r="K153" s="82" t="n">
        <v>0.042</v>
      </c>
      <c r="L153" s="82" t="n">
        <v>0.042</v>
      </c>
      <c r="M153" s="80" t="inlineStr">
        <is>
          <t>平安普惠</t>
        </is>
      </c>
      <c r="N153" s="80" t="inlineStr">
        <is>
          <t>小微贷</t>
        </is>
      </c>
      <c r="O153" s="83" t="n">
        <v>46403</v>
      </c>
      <c r="P153" s="84">
        <f>M187</f>
        <v/>
      </c>
      <c r="Q153" s="713">
        <f>N187</f>
        <v/>
      </c>
      <c r="R153" s="713">
        <f>S153-Q153</f>
        <v/>
      </c>
      <c r="S153" s="86">
        <f>O187</f>
        <v/>
      </c>
      <c r="T153" s="714">
        <f>Q187/10000</f>
        <v/>
      </c>
      <c r="U153" s="86" t="inlineStr">
        <is>
          <t>洮利5号</t>
        </is>
      </c>
    </row>
    <row r="154" hidden="1" ht="17.25" customFormat="1" customHeight="1" s="29">
      <c r="B154" s="37" t="n"/>
      <c r="C154" s="37" t="inlineStr">
        <is>
          <t>元康20号</t>
        </is>
      </c>
      <c r="D154" s="80" t="n"/>
      <c r="E154" s="80" t="inlineStr">
        <is>
          <t>基于估值</t>
        </is>
      </c>
      <c r="F154" s="80" t="inlineStr">
        <is>
          <t>23惠民2B</t>
        </is>
      </c>
      <c r="G154" s="80" t="inlineStr">
        <is>
          <t>AAA</t>
        </is>
      </c>
      <c r="H154" s="712" t="n">
        <v>1000</v>
      </c>
      <c r="I154" s="80" t="inlineStr">
        <is>
          <t>预计102</t>
        </is>
      </c>
      <c r="J154" s="80" t="inlineStr">
        <is>
          <t>过桥方待定</t>
        </is>
      </c>
      <c r="K154" s="82" t="n">
        <v>0.058</v>
      </c>
      <c r="L154" s="82" t="n">
        <v>0.029</v>
      </c>
      <c r="M154" s="80" t="inlineStr">
        <is>
          <t>易鑫</t>
        </is>
      </c>
      <c r="N154" s="80" t="inlineStr">
        <is>
          <t>汽车分期</t>
        </is>
      </c>
      <c r="O154" s="83" t="n">
        <v>46108</v>
      </c>
      <c r="P154" s="84">
        <f>M188</f>
        <v/>
      </c>
      <c r="Q154" s="713">
        <f>N188</f>
        <v/>
      </c>
      <c r="R154" s="713">
        <f>S154-Q154</f>
        <v/>
      </c>
      <c r="S154" s="86">
        <f>O188</f>
        <v/>
      </c>
      <c r="T154" s="714">
        <f>Q188/10000</f>
        <v/>
      </c>
      <c r="U154" s="86" t="inlineStr">
        <is>
          <t>洮利5号</t>
        </is>
      </c>
    </row>
    <row r="155" hidden="1" ht="17.25" customHeight="1" s="326">
      <c r="B155" s="24" t="n"/>
      <c r="C155" s="24" t="n"/>
      <c r="D155" s="68" t="n"/>
      <c r="E155" s="68" t="n"/>
      <c r="F155" s="68" t="n"/>
      <c r="G155" s="68" t="n"/>
      <c r="H155" s="708" t="n"/>
      <c r="I155" s="68" t="n"/>
      <c r="J155" s="68" t="n"/>
      <c r="K155" s="72" t="n"/>
      <c r="L155" s="72" t="n"/>
      <c r="M155" s="68" t="n"/>
      <c r="N155" s="68" t="n"/>
      <c r="O155" s="73" t="n"/>
      <c r="P155" s="74" t="n"/>
      <c r="Q155" s="709" t="n"/>
      <c r="R155" s="709" t="n"/>
      <c r="S155" s="69" t="n"/>
      <c r="T155" s="69" t="n"/>
      <c r="U155" s="69" t="n"/>
    </row>
    <row r="156" hidden="1" ht="17.25" customHeight="1" s="326">
      <c r="B156" s="24" t="n"/>
      <c r="C156" s="24" t="n"/>
      <c r="D156" s="68" t="n"/>
      <c r="E156" s="68" t="n"/>
      <c r="F156" s="68" t="inlineStr">
        <is>
          <t>海云2A</t>
        </is>
      </c>
      <c r="G156" s="68" t="inlineStr">
        <is>
          <t>AAA</t>
        </is>
      </c>
      <c r="H156" s="708" t="n">
        <v>1400</v>
      </c>
      <c r="I156" s="68" t="n"/>
      <c r="J156" s="68" t="inlineStr">
        <is>
          <t>一级簿记</t>
        </is>
      </c>
      <c r="K156" s="72" t="n">
        <v>0.035</v>
      </c>
      <c r="L156" s="72" t="n">
        <v>0.035</v>
      </c>
      <c r="M156" s="68" t="inlineStr">
        <is>
          <t>海富租赁</t>
        </is>
      </c>
      <c r="N156" s="68" t="inlineStr">
        <is>
          <t>车主贷</t>
        </is>
      </c>
      <c r="O156" s="73" t="n">
        <v>46406</v>
      </c>
      <c r="P156" s="74" t="n">
        <v>45867</v>
      </c>
      <c r="Q156" s="709" t="n">
        <v>100</v>
      </c>
      <c r="R156" s="709" t="n">
        <v>0</v>
      </c>
      <c r="S156" s="69" t="n">
        <v>100</v>
      </c>
      <c r="T156" s="711" t="n">
        <v>1400</v>
      </c>
      <c r="U156" s="69" t="n"/>
    </row>
    <row r="157" hidden="1" ht="17.25" customHeight="1" s="326">
      <c r="B157" s="24" t="n"/>
      <c r="C157" s="24" t="n"/>
      <c r="D157" s="68" t="n"/>
      <c r="E157" s="68" t="n"/>
      <c r="F157" s="68" t="inlineStr">
        <is>
          <t>海云2B</t>
        </is>
      </c>
      <c r="G157" s="68" t="inlineStr">
        <is>
          <t>AA+</t>
        </is>
      </c>
      <c r="H157" s="708" t="n">
        <v>2400</v>
      </c>
      <c r="I157" s="68" t="n"/>
      <c r="J157" s="68" t="inlineStr">
        <is>
          <t>一级簿记</t>
        </is>
      </c>
      <c r="K157" s="72" t="n">
        <v>0.039</v>
      </c>
      <c r="L157" s="72" t="n">
        <v>0.04</v>
      </c>
      <c r="M157" s="68" t="inlineStr">
        <is>
          <t>海富租赁</t>
        </is>
      </c>
      <c r="N157" s="68" t="inlineStr">
        <is>
          <t>车主贷</t>
        </is>
      </c>
      <c r="O157" s="73" t="n">
        <v>46465</v>
      </c>
      <c r="P157" s="74" t="n">
        <v>45867</v>
      </c>
      <c r="Q157" s="709" t="n">
        <v>100</v>
      </c>
      <c r="R157" s="709" t="n">
        <v>0</v>
      </c>
      <c r="S157" s="69" t="n">
        <v>100</v>
      </c>
      <c r="T157" s="711">
        <f>H157</f>
        <v/>
      </c>
      <c r="U157" s="69" t="n"/>
    </row>
    <row r="158" hidden="1" ht="17.25" customHeight="1" s="326">
      <c r="B158" s="24" t="n"/>
      <c r="C158" s="24" t="n"/>
      <c r="D158" s="68" t="n"/>
      <c r="E158" s="68" t="n"/>
      <c r="F158" s="68" t="inlineStr">
        <is>
          <t>25OCC1B</t>
        </is>
      </c>
      <c r="G158" s="68" t="inlineStr">
        <is>
          <t>AA+</t>
        </is>
      </c>
      <c r="H158" s="708" t="n">
        <v>600</v>
      </c>
      <c r="I158" s="68" t="n"/>
      <c r="J158" s="68" t="inlineStr">
        <is>
          <t>一级簿记</t>
        </is>
      </c>
      <c r="K158" s="72" t="n">
        <v>0.033</v>
      </c>
      <c r="L158" s="72" t="n">
        <v>0.033</v>
      </c>
      <c r="M158" s="68" t="inlineStr">
        <is>
          <t>欧力士租赁</t>
        </is>
      </c>
      <c r="N158" s="68" t="inlineStr">
        <is>
          <t>小微租赁</t>
        </is>
      </c>
      <c r="O158" s="73" t="n">
        <v>46534</v>
      </c>
      <c r="P158" s="74" t="n">
        <v>45862</v>
      </c>
      <c r="Q158" s="709" t="n">
        <v>100</v>
      </c>
      <c r="R158" s="709" t="n">
        <v>0</v>
      </c>
      <c r="S158" s="69" t="n">
        <v>100</v>
      </c>
      <c r="T158" s="711">
        <f>H158</f>
        <v/>
      </c>
      <c r="U158" s="69" t="n"/>
    </row>
    <row r="159" hidden="1" ht="17.25" customHeight="1" s="326">
      <c r="B159" s="24" t="n"/>
      <c r="C159" s="24" t="n"/>
      <c r="D159" s="24" t="n"/>
      <c r="E159" s="24" t="n"/>
      <c r="F159" s="24" t="n"/>
      <c r="G159" s="24" t="n"/>
      <c r="H159" s="24" t="n"/>
      <c r="I159" s="24" t="n"/>
      <c r="J159" s="24" t="n"/>
      <c r="K159" s="24" t="inlineStr">
        <is>
          <t>加权平均</t>
        </is>
      </c>
      <c r="L159" s="715">
        <f>SUMPRODUCT(L123:L158,H123:H158)/SUM(H123:H158)</f>
        <v/>
      </c>
      <c r="M159" s="24" t="n"/>
      <c r="N159" s="24" t="n"/>
      <c r="O159" s="24" t="n"/>
      <c r="P159" s="24" t="n"/>
      <c r="Q159" s="24" t="n"/>
      <c r="R159" s="24" t="n"/>
      <c r="S159" s="24" t="n"/>
      <c r="T159" s="24" t="n"/>
      <c r="U159" s="24" t="n"/>
    </row>
    <row r="160" hidden="1" ht="17.25" customHeight="1" s="326">
      <c r="B160" s="24" t="n"/>
      <c r="C160" s="24" t="n"/>
      <c r="D160" s="24" t="n"/>
      <c r="E160" s="24" t="n"/>
      <c r="G160" s="24" t="n"/>
      <c r="H160" s="24" t="n"/>
      <c r="I160" s="24" t="n"/>
      <c r="J160" s="24" t="n"/>
      <c r="K160" s="24" t="n"/>
      <c r="L160" s="88" t="n"/>
      <c r="M160" s="24" t="n"/>
      <c r="N160" s="24" t="n"/>
      <c r="O160" s="24" t="n"/>
      <c r="P160" s="24" t="n"/>
      <c r="Q160" s="24" t="n"/>
      <c r="R160" s="24" t="n"/>
      <c r="S160" s="24" t="n"/>
      <c r="T160" s="24" t="n"/>
      <c r="U160" s="24" t="n"/>
    </row>
    <row r="161" hidden="1" s="326">
      <c r="G161" s="89" t="n"/>
      <c r="H161" s="716" t="n"/>
      <c r="I161" s="717" t="n"/>
    </row>
    <row r="162" hidden="1" ht="17.25" customHeight="1" s="326">
      <c r="F162" s="78" t="n"/>
      <c r="G162" s="89" t="n"/>
      <c r="H162" s="716" t="n"/>
      <c r="I162" s="717" t="n"/>
    </row>
    <row r="163" hidden="1" ht="17.25" customHeight="1" s="326">
      <c r="F163" s="78" t="n"/>
      <c r="G163" s="89" t="n"/>
      <c r="H163" s="716" t="n"/>
      <c r="I163" s="717" t="n"/>
    </row>
    <row r="164" hidden="1" ht="17.25" customHeight="1" s="326">
      <c r="F164" s="78" t="n"/>
      <c r="G164" s="89" t="n"/>
      <c r="H164" s="716" t="n"/>
      <c r="I164" s="717" t="n"/>
    </row>
    <row r="165" hidden="1" ht="17.25" customHeight="1" s="326">
      <c r="H165" s="718" t="n"/>
    </row>
    <row r="166" hidden="1" ht="17.25" customHeight="1" s="326">
      <c r="F166" s="24">
        <f>F122</f>
        <v/>
      </c>
      <c r="G166" s="24">
        <f>G122</f>
        <v/>
      </c>
      <c r="H166" s="718">
        <f>H122</f>
        <v/>
      </c>
      <c r="I166" s="24">
        <f>Q122</f>
        <v/>
      </c>
      <c r="J166" s="24">
        <f>R122</f>
        <v/>
      </c>
      <c r="K166" s="24">
        <f>S122</f>
        <v/>
      </c>
      <c r="L166" s="24">
        <f>T122</f>
        <v/>
      </c>
      <c r="M166" s="24" t="inlineStr">
        <is>
          <t>交易对手</t>
        </is>
      </c>
      <c r="N166" s="24" t="inlineStr">
        <is>
          <t>交易日期</t>
        </is>
      </c>
      <c r="O166" s="24" t="n"/>
      <c r="P166" s="24" t="inlineStr">
        <is>
          <t>交易确定情况</t>
        </is>
      </c>
      <c r="Q166" s="24" t="inlineStr">
        <is>
          <t>预计后手收益率</t>
        </is>
      </c>
      <c r="R166" s="68" t="inlineStr">
        <is>
          <t>票息</t>
        </is>
      </c>
    </row>
    <row r="167" hidden="1" ht="17.25" customHeight="1" s="326">
      <c r="F167" s="24">
        <f>F123</f>
        <v/>
      </c>
      <c r="G167" s="24">
        <f>G123</f>
        <v/>
      </c>
      <c r="H167" s="718">
        <f>H123</f>
        <v/>
      </c>
      <c r="I167" s="719">
        <f>Q123</f>
        <v/>
      </c>
      <c r="J167" s="719">
        <f>R123</f>
        <v/>
      </c>
      <c r="K167" s="719">
        <f>S123</f>
        <v/>
      </c>
      <c r="L167" s="719">
        <f>T123</f>
        <v/>
      </c>
      <c r="M167" s="24">
        <f>U123</f>
        <v/>
      </c>
      <c r="N167" s="70">
        <f>P123</f>
        <v/>
      </c>
      <c r="O167" s="24" t="n"/>
      <c r="P167" s="24" t="inlineStr">
        <is>
          <t>确定</t>
        </is>
      </c>
      <c r="Q167" s="94">
        <f>L123</f>
        <v/>
      </c>
      <c r="R167" s="94">
        <f>K123</f>
        <v/>
      </c>
    </row>
    <row r="168" hidden="1" ht="17.25" customHeight="1" s="326">
      <c r="F168" s="24">
        <f>F124</f>
        <v/>
      </c>
      <c r="G168" s="24">
        <f>G124</f>
        <v/>
      </c>
      <c r="H168" s="718">
        <f>H124</f>
        <v/>
      </c>
      <c r="I168" s="719">
        <f>Q124</f>
        <v/>
      </c>
      <c r="J168" s="719">
        <f>R124</f>
        <v/>
      </c>
      <c r="K168" s="719">
        <f>S124</f>
        <v/>
      </c>
      <c r="L168" s="719">
        <f>T124</f>
        <v/>
      </c>
      <c r="M168" s="24">
        <f>U124</f>
        <v/>
      </c>
      <c r="N168" s="70">
        <f>P124</f>
        <v/>
      </c>
      <c r="O168" s="24" t="n"/>
      <c r="P168" s="24" t="inlineStr">
        <is>
          <t>确定</t>
        </is>
      </c>
      <c r="Q168" s="94">
        <f>L124</f>
        <v/>
      </c>
      <c r="R168" s="94">
        <f>K124</f>
        <v/>
      </c>
    </row>
    <row r="169" hidden="1" ht="17.25" customHeight="1" s="326">
      <c r="F169" s="24">
        <f>F125</f>
        <v/>
      </c>
      <c r="G169" s="24">
        <f>G125</f>
        <v/>
      </c>
      <c r="H169" s="718">
        <f>H125</f>
        <v/>
      </c>
      <c r="I169" s="719">
        <f>Q125</f>
        <v/>
      </c>
      <c r="J169" s="719">
        <f>R125</f>
        <v/>
      </c>
      <c r="K169" s="719">
        <f>S125</f>
        <v/>
      </c>
      <c r="L169" s="719">
        <f>T125</f>
        <v/>
      </c>
      <c r="M169" s="24">
        <f>U125</f>
        <v/>
      </c>
      <c r="N169" s="70">
        <f>P125</f>
        <v/>
      </c>
      <c r="O169" s="24" t="n"/>
      <c r="P169" s="24" t="inlineStr">
        <is>
          <t>确定</t>
        </is>
      </c>
      <c r="Q169" s="94">
        <f>L125</f>
        <v/>
      </c>
      <c r="R169" s="94">
        <f>K125</f>
        <v/>
      </c>
    </row>
    <row r="170" hidden="1" ht="17.25" customHeight="1" s="326">
      <c r="F170" s="24">
        <f>F134</f>
        <v/>
      </c>
      <c r="G170" s="24">
        <f>G134</f>
        <v/>
      </c>
      <c r="H170" s="718">
        <f>H134</f>
        <v/>
      </c>
      <c r="I170" s="719">
        <f>Q134</f>
        <v/>
      </c>
      <c r="J170" s="719">
        <f>R134</f>
        <v/>
      </c>
      <c r="K170" s="719">
        <f>S134</f>
        <v/>
      </c>
      <c r="L170" s="719">
        <f>T134</f>
        <v/>
      </c>
      <c r="M170" s="24">
        <f>C134</f>
        <v/>
      </c>
      <c r="N170" s="70">
        <f>P134</f>
        <v/>
      </c>
      <c r="O170" s="24" t="n"/>
      <c r="P170" s="24" t="inlineStr">
        <is>
          <t>确定</t>
        </is>
      </c>
      <c r="Q170" s="94">
        <f>L134</f>
        <v/>
      </c>
      <c r="R170" s="94">
        <f>K134</f>
        <v/>
      </c>
    </row>
    <row r="171" hidden="1" ht="17.25" customHeight="1" s="326">
      <c r="F171" s="24">
        <f>F135</f>
        <v/>
      </c>
      <c r="G171" s="24">
        <f>G135</f>
        <v/>
      </c>
      <c r="H171" s="718">
        <f>H135</f>
        <v/>
      </c>
      <c r="I171" s="719">
        <f>Q135</f>
        <v/>
      </c>
      <c r="J171" s="719">
        <f>R135</f>
        <v/>
      </c>
      <c r="K171" s="719">
        <f>S135</f>
        <v/>
      </c>
      <c r="L171" s="719">
        <f>T135</f>
        <v/>
      </c>
      <c r="M171" s="24">
        <f>C135</f>
        <v/>
      </c>
      <c r="N171" s="70">
        <f>P135</f>
        <v/>
      </c>
      <c r="O171" s="24" t="n"/>
      <c r="P171" s="24" t="inlineStr">
        <is>
          <t>确定</t>
        </is>
      </c>
      <c r="Q171" s="94">
        <f>L135</f>
        <v/>
      </c>
      <c r="R171" s="94">
        <f>K135</f>
        <v/>
      </c>
    </row>
    <row r="172" hidden="1" ht="17.25" customHeight="1" s="326">
      <c r="F172" s="24">
        <f>F140</f>
        <v/>
      </c>
      <c r="G172" s="24">
        <f>G140</f>
        <v/>
      </c>
      <c r="H172" s="718">
        <f>H140</f>
        <v/>
      </c>
      <c r="I172" s="719">
        <f>Q140</f>
        <v/>
      </c>
      <c r="J172" s="719">
        <f>R140</f>
        <v/>
      </c>
      <c r="K172" s="719">
        <f>S140</f>
        <v/>
      </c>
      <c r="L172" s="719">
        <f>T140</f>
        <v/>
      </c>
      <c r="M172" s="24">
        <f>U140</f>
        <v/>
      </c>
      <c r="N172" s="70">
        <f>P140</f>
        <v/>
      </c>
      <c r="O172" s="24" t="n"/>
      <c r="P172" s="24" t="inlineStr">
        <is>
          <t>确定</t>
        </is>
      </c>
      <c r="Q172" s="94">
        <f>L140</f>
        <v/>
      </c>
      <c r="R172" s="94">
        <f>K140</f>
        <v/>
      </c>
    </row>
    <row r="173" hidden="1" ht="17.25" customHeight="1" s="326">
      <c r="F173" s="24">
        <f>F141</f>
        <v/>
      </c>
      <c r="G173" s="24">
        <f>G141</f>
        <v/>
      </c>
      <c r="H173" s="718">
        <f>H141</f>
        <v/>
      </c>
      <c r="I173" s="719">
        <f>Q141</f>
        <v/>
      </c>
      <c r="J173" s="719">
        <f>R141</f>
        <v/>
      </c>
      <c r="K173" s="719">
        <f>S141</f>
        <v/>
      </c>
      <c r="L173" s="719">
        <f>T141</f>
        <v/>
      </c>
      <c r="M173" s="24">
        <f>C141</f>
        <v/>
      </c>
      <c r="N173" s="70">
        <f>P141</f>
        <v/>
      </c>
      <c r="O173" s="24" t="n"/>
      <c r="P173" s="24" t="inlineStr">
        <is>
          <t>确定</t>
        </is>
      </c>
      <c r="Q173" s="94">
        <f>L141</f>
        <v/>
      </c>
      <c r="R173" s="94">
        <f>K141</f>
        <v/>
      </c>
    </row>
    <row r="174" hidden="1" ht="17.25" customHeight="1" s="326">
      <c r="F174" s="24">
        <f>F142</f>
        <v/>
      </c>
      <c r="G174" s="24">
        <f>G142</f>
        <v/>
      </c>
      <c r="H174" s="718">
        <f>H142</f>
        <v/>
      </c>
      <c r="I174" s="719">
        <f>Q142</f>
        <v/>
      </c>
      <c r="J174" s="719">
        <f>R142</f>
        <v/>
      </c>
      <c r="K174" s="719">
        <f>S142</f>
        <v/>
      </c>
      <c r="L174" s="719">
        <f>T142</f>
        <v/>
      </c>
      <c r="M174" s="24">
        <f>C142</f>
        <v/>
      </c>
      <c r="N174" s="70">
        <f>P142</f>
        <v/>
      </c>
      <c r="O174" s="24" t="n"/>
      <c r="P174" s="24" t="inlineStr">
        <is>
          <t>确定</t>
        </is>
      </c>
      <c r="Q174" s="94">
        <f>L142</f>
        <v/>
      </c>
      <c r="R174" s="94">
        <f>K142</f>
        <v/>
      </c>
    </row>
    <row r="175" hidden="1" ht="17.25" customHeight="1" s="326">
      <c r="F175" s="24">
        <f>F143</f>
        <v/>
      </c>
      <c r="G175" s="24">
        <f>G143</f>
        <v/>
      </c>
      <c r="H175" s="718">
        <f>H143</f>
        <v/>
      </c>
      <c r="I175" s="719">
        <f>Q143</f>
        <v/>
      </c>
      <c r="J175" s="719">
        <f>R143</f>
        <v/>
      </c>
      <c r="K175" s="719">
        <f>S143</f>
        <v/>
      </c>
      <c r="L175" s="719">
        <f>T143</f>
        <v/>
      </c>
      <c r="M175" s="24">
        <f>C143</f>
        <v/>
      </c>
      <c r="N175" s="70">
        <f>P143</f>
        <v/>
      </c>
      <c r="O175" s="24" t="n"/>
      <c r="P175" s="24" t="inlineStr">
        <is>
          <t>确定</t>
        </is>
      </c>
      <c r="Q175" s="94">
        <f>L143</f>
        <v/>
      </c>
      <c r="R175" s="94">
        <f>K143</f>
        <v/>
      </c>
    </row>
    <row r="176" hidden="1" ht="17.25" customHeight="1" s="326">
      <c r="F176" s="24">
        <f>G185</f>
        <v/>
      </c>
      <c r="G176" s="24">
        <f>G151</f>
        <v/>
      </c>
      <c r="H176" s="718">
        <f>H151</f>
        <v/>
      </c>
      <c r="I176" s="719">
        <f>N185</f>
        <v/>
      </c>
      <c r="J176" s="719">
        <f>R151</f>
        <v/>
      </c>
      <c r="K176" s="719">
        <f>S151</f>
        <v/>
      </c>
      <c r="L176" s="719">
        <f>T151</f>
        <v/>
      </c>
      <c r="M176" s="24">
        <f>U151</f>
        <v/>
      </c>
      <c r="N176" s="70">
        <f>P151</f>
        <v/>
      </c>
      <c r="O176" s="24" t="n"/>
      <c r="P176" s="24" t="inlineStr">
        <is>
          <t>确定</t>
        </is>
      </c>
      <c r="Q176" s="94">
        <f>L151</f>
        <v/>
      </c>
      <c r="R176" s="94">
        <f>K151</f>
        <v/>
      </c>
    </row>
    <row r="177" hidden="1" ht="17.25" customHeight="1" s="326">
      <c r="F177" s="24">
        <f>G186</f>
        <v/>
      </c>
      <c r="G177" s="24">
        <f>G152</f>
        <v/>
      </c>
      <c r="H177" s="718">
        <f>H152</f>
        <v/>
      </c>
      <c r="I177" s="719">
        <f>N186</f>
        <v/>
      </c>
      <c r="J177" s="719">
        <f>R152</f>
        <v/>
      </c>
      <c r="K177" s="719">
        <f>S152</f>
        <v/>
      </c>
      <c r="L177" s="719">
        <f>T152</f>
        <v/>
      </c>
      <c r="M177" s="24">
        <f>U152</f>
        <v/>
      </c>
      <c r="N177" s="70">
        <f>P152</f>
        <v/>
      </c>
      <c r="O177" s="24" t="n"/>
      <c r="P177" s="24" t="inlineStr">
        <is>
          <t>确定</t>
        </is>
      </c>
      <c r="Q177" s="94">
        <f>L152</f>
        <v/>
      </c>
      <c r="R177" s="94">
        <f>K152</f>
        <v/>
      </c>
    </row>
    <row r="178" hidden="1" ht="17.25" customHeight="1" s="326">
      <c r="F178" s="24">
        <f>G187</f>
        <v/>
      </c>
      <c r="G178" s="24">
        <f>G153</f>
        <v/>
      </c>
      <c r="H178" s="718">
        <f>H153</f>
        <v/>
      </c>
      <c r="I178" s="719">
        <f>N187</f>
        <v/>
      </c>
      <c r="J178" s="719">
        <f>R153</f>
        <v/>
      </c>
      <c r="K178" s="719">
        <f>S153</f>
        <v/>
      </c>
      <c r="L178" s="719">
        <f>T153</f>
        <v/>
      </c>
      <c r="M178" s="24">
        <f>U153</f>
        <v/>
      </c>
      <c r="N178" s="70">
        <f>P153</f>
        <v/>
      </c>
      <c r="O178" s="24" t="n"/>
      <c r="P178" s="24" t="inlineStr">
        <is>
          <t>确定</t>
        </is>
      </c>
      <c r="Q178" s="94">
        <f>L153</f>
        <v/>
      </c>
      <c r="R178" s="94">
        <f>K153</f>
        <v/>
      </c>
    </row>
    <row r="179" hidden="1" ht="17.25" customHeight="1" s="326">
      <c r="F179" s="24">
        <f>G188</f>
        <v/>
      </c>
      <c r="G179" s="24">
        <f>G154</f>
        <v/>
      </c>
      <c r="H179" s="718">
        <f>H154</f>
        <v/>
      </c>
      <c r="I179" s="719">
        <f>N188</f>
        <v/>
      </c>
      <c r="J179" s="719">
        <f>R154</f>
        <v/>
      </c>
      <c r="K179" s="719">
        <f>S154</f>
        <v/>
      </c>
      <c r="L179" s="719">
        <f>T154</f>
        <v/>
      </c>
      <c r="M179" s="24">
        <f>U154</f>
        <v/>
      </c>
      <c r="N179" s="70">
        <f>P154</f>
        <v/>
      </c>
      <c r="O179" s="24" t="n"/>
      <c r="P179" s="24" t="inlineStr">
        <is>
          <t>确定</t>
        </is>
      </c>
      <c r="Q179" s="94">
        <f>L154</f>
        <v/>
      </c>
      <c r="R179" s="94">
        <f>K154</f>
        <v/>
      </c>
    </row>
    <row r="180" hidden="1" ht="17.25" customHeight="1" s="326">
      <c r="F180" s="24">
        <f>F156</f>
        <v/>
      </c>
      <c r="G180" s="24">
        <f>G156</f>
        <v/>
      </c>
      <c r="H180" s="718">
        <f>H156</f>
        <v/>
      </c>
      <c r="I180" s="719" t="n">
        <v>100</v>
      </c>
      <c r="J180" s="719" t="n">
        <v>0</v>
      </c>
      <c r="K180" s="719">
        <f>I180+J180</f>
        <v/>
      </c>
      <c r="L180" s="719">
        <f>T156</f>
        <v/>
      </c>
      <c r="M180" s="24" t="inlineStr">
        <is>
          <t>一级簿记</t>
        </is>
      </c>
      <c r="N180" s="70">
        <f>P156</f>
        <v/>
      </c>
      <c r="O180" s="24" t="inlineStr">
        <is>
          <t>缴款日</t>
        </is>
      </c>
      <c r="P180" s="24" t="inlineStr">
        <is>
          <t>待定时间</t>
        </is>
      </c>
      <c r="Q180" s="94">
        <f>L156</f>
        <v/>
      </c>
      <c r="R180" s="94">
        <f>K156</f>
        <v/>
      </c>
    </row>
    <row r="181" hidden="1" ht="17.25" customHeight="1" s="326">
      <c r="F181" s="24">
        <f>F157</f>
        <v/>
      </c>
      <c r="G181" s="24">
        <f>G157</f>
        <v/>
      </c>
      <c r="H181" s="718">
        <f>H157</f>
        <v/>
      </c>
      <c r="I181" s="719" t="n">
        <v>100</v>
      </c>
      <c r="J181" s="719" t="n">
        <v>0</v>
      </c>
      <c r="K181" s="719">
        <f>I181+J181</f>
        <v/>
      </c>
      <c r="L181" s="719">
        <f>H181</f>
        <v/>
      </c>
      <c r="M181" s="24" t="inlineStr">
        <is>
          <t>一级簿记</t>
        </is>
      </c>
      <c r="N181" s="70">
        <f>P157</f>
        <v/>
      </c>
      <c r="O181" s="24" t="inlineStr">
        <is>
          <t>缴款日</t>
        </is>
      </c>
      <c r="P181" s="24" t="inlineStr">
        <is>
          <t>待定时间</t>
        </is>
      </c>
      <c r="Q181" s="94">
        <f>L157</f>
        <v/>
      </c>
      <c r="R181" s="94">
        <f>K157</f>
        <v/>
      </c>
    </row>
    <row r="182" hidden="1" ht="17.25" customHeight="1" s="326">
      <c r="F182" s="24">
        <f>F158</f>
        <v/>
      </c>
      <c r="G182" s="24">
        <f>G158</f>
        <v/>
      </c>
      <c r="H182" s="718" t="n">
        <v>600</v>
      </c>
      <c r="I182" s="719" t="n">
        <v>100</v>
      </c>
      <c r="J182" s="719" t="n">
        <v>0</v>
      </c>
      <c r="K182" s="719">
        <f>I182+J182</f>
        <v/>
      </c>
      <c r="L182" s="719">
        <f>H182</f>
        <v/>
      </c>
      <c r="M182" s="24" t="inlineStr">
        <is>
          <t>一级簿记</t>
        </is>
      </c>
      <c r="N182" s="70">
        <f>P158</f>
        <v/>
      </c>
      <c r="O182" s="24" t="inlineStr">
        <is>
          <t>缴款日</t>
        </is>
      </c>
      <c r="P182" s="24" t="inlineStr">
        <is>
          <t>确定</t>
        </is>
      </c>
      <c r="Q182" s="94">
        <f>L158</f>
        <v/>
      </c>
      <c r="R182" s="94">
        <f>K158</f>
        <v/>
      </c>
    </row>
    <row r="183" hidden="1" ht="17.25" customHeight="1" s="326">
      <c r="H183" s="718" t="n"/>
    </row>
    <row r="184" hidden="1" ht="17.25" customHeight="1" s="326">
      <c r="D184" s="24" t="inlineStr">
        <is>
          <t>数量(万元面值)</t>
        </is>
      </c>
      <c r="E184" s="24" t="inlineStr">
        <is>
          <t>中债估值（717）</t>
        </is>
      </c>
      <c r="F184" s="24" t="inlineStr">
        <is>
          <t>中证估值（717）</t>
        </is>
      </c>
      <c r="G184" s="24" t="inlineStr">
        <is>
          <t>证券名称及代码</t>
        </is>
      </c>
      <c r="H184" s="95" t="inlineStr">
        <is>
          <t>to君创时间</t>
        </is>
      </c>
      <c r="I184" s="95" t="inlineStr">
        <is>
          <t>净价</t>
        </is>
      </c>
      <c r="J184" s="95" t="inlineStr">
        <is>
          <t>全价</t>
        </is>
      </c>
      <c r="K184" s="95" t="inlineStr">
        <is>
          <t>净价规模</t>
        </is>
      </c>
      <c r="L184" s="95" t="inlineStr">
        <is>
          <t>全价规模</t>
        </is>
      </c>
      <c r="M184" s="96" t="inlineStr">
        <is>
          <t>to下家时间</t>
        </is>
      </c>
      <c r="N184" s="96" t="inlineStr">
        <is>
          <t>净价</t>
        </is>
      </c>
      <c r="O184" s="97" t="inlineStr">
        <is>
          <t>全价</t>
        </is>
      </c>
      <c r="P184" s="96" t="inlineStr">
        <is>
          <t>净价规模</t>
        </is>
      </c>
      <c r="Q184" s="96" t="inlineStr">
        <is>
          <t>全价规模</t>
        </is>
      </c>
      <c r="R184" s="96" t="n"/>
      <c r="S184" s="98" t="inlineStr">
        <is>
          <t>全价差额</t>
        </is>
      </c>
      <c r="T184" s="24" t="inlineStr">
        <is>
          <t>后手收益率-dm</t>
        </is>
      </c>
      <c r="U184" s="24" t="n"/>
    </row>
    <row r="185" hidden="1" ht="17.25" customHeight="1" s="326">
      <c r="D185" s="692" t="n">
        <v>1500</v>
      </c>
      <c r="E185" s="24" t="inlineStr">
        <is>
          <t>3.0040(102.6221)</t>
        </is>
      </c>
      <c r="F185" s="24" t="inlineStr">
        <is>
          <t xml:space="preserve"> 2.6730(103.5972)</t>
        </is>
      </c>
      <c r="G185" s="68" t="inlineStr">
        <is>
          <t>23惠民3B,143845.SZ</t>
        </is>
      </c>
      <c r="H185" s="70" t="n">
        <v>45860</v>
      </c>
      <c r="I185" s="99" t="n">
        <v>103.55</v>
      </c>
      <c r="J185" s="99" t="n">
        <v>103.9596</v>
      </c>
      <c r="K185" s="720">
        <f>D185*I185*100</f>
        <v/>
      </c>
      <c r="L185" s="720">
        <f>J185*D185*100</f>
        <v/>
      </c>
      <c r="M185" s="70" t="n">
        <v>45867</v>
      </c>
      <c r="N185" s="101" t="n">
        <v>102.6</v>
      </c>
      <c r="O185" s="101" t="n">
        <v>103.1199</v>
      </c>
      <c r="P185" s="720">
        <f>D185*N185*100</f>
        <v/>
      </c>
      <c r="Q185" s="720">
        <f>O185*D185*100</f>
        <v/>
      </c>
      <c r="R185" s="720" t="n"/>
      <c r="S185" s="721">
        <f>L185-Q185</f>
        <v/>
      </c>
      <c r="T185" s="94" t="n">
        <v>0.0345</v>
      </c>
      <c r="U185" s="103" t="n">
        <v>0.03</v>
      </c>
    </row>
    <row r="186" hidden="1" ht="17.25" customHeight="1" s="326">
      <c r="D186" s="692" t="n">
        <v>1250</v>
      </c>
      <c r="E186" s="24" t="inlineStr">
        <is>
          <t>4.9142(101.7177)</t>
        </is>
      </c>
      <c r="F186" s="24" t="inlineStr">
        <is>
          <t>3.1273(103.5382)</t>
        </is>
      </c>
      <c r="G186" s="68" t="inlineStr">
        <is>
          <t>安康3C,143258.SZ</t>
        </is>
      </c>
      <c r="H186" s="70" t="n">
        <v>45861</v>
      </c>
      <c r="I186" s="99" t="n">
        <v>103.124</v>
      </c>
      <c r="J186" s="99" t="n">
        <v>103.6325</v>
      </c>
      <c r="K186" s="720">
        <f>D186*I186*100</f>
        <v/>
      </c>
      <c r="L186" s="720">
        <f>J186*D186*100</f>
        <v/>
      </c>
      <c r="M186" s="70" t="n">
        <v>45868</v>
      </c>
      <c r="N186" s="101" t="n">
        <v>102.39</v>
      </c>
      <c r="O186" s="101" t="n">
        <v>102.4952</v>
      </c>
      <c r="P186" s="720">
        <f>D186*N186*100</f>
        <v/>
      </c>
      <c r="Q186" s="720">
        <f>O186*D186*100</f>
        <v/>
      </c>
      <c r="R186" s="720" t="n"/>
      <c r="S186" s="721">
        <f>L186-Q186-W186*D186*100</f>
        <v/>
      </c>
      <c r="T186" s="94" t="n">
        <v>0.0134</v>
      </c>
      <c r="U186" s="103" t="n">
        <v>0.03</v>
      </c>
      <c r="V186" s="15" t="inlineStr">
        <is>
          <t>7月24日兑付</t>
        </is>
      </c>
      <c r="W186" s="15" t="n">
        <v>0.526</v>
      </c>
    </row>
    <row r="187" hidden="1" ht="17.25" customHeight="1" s="326">
      <c r="D187" s="692" t="n">
        <v>600</v>
      </c>
      <c r="E187" s="24" t="inlineStr">
        <is>
          <t>4.3349(99.9078)</t>
        </is>
      </c>
      <c r="F187" s="24" t="inlineStr">
        <is>
          <t>4.0380(100.4091)</t>
        </is>
      </c>
      <c r="G187" s="68" t="inlineStr">
        <is>
          <t>熠然05A3,146382.SZ</t>
        </is>
      </c>
      <c r="H187" s="70" t="n">
        <v>45862</v>
      </c>
      <c r="I187" s="99" t="n">
        <v>100.35</v>
      </c>
      <c r="J187" s="99" t="n">
        <v>100.4651</v>
      </c>
      <c r="K187" s="720">
        <f>D187*I187*100</f>
        <v/>
      </c>
      <c r="L187" s="720">
        <f>J187*D187*100</f>
        <v/>
      </c>
      <c r="M187" s="70" t="n">
        <v>45869</v>
      </c>
      <c r="N187" s="101" t="n">
        <v>100</v>
      </c>
      <c r="O187" s="101" t="n">
        <v>100.1956</v>
      </c>
      <c r="P187" s="720">
        <f>D187*N187*100</f>
        <v/>
      </c>
      <c r="Q187" s="720">
        <f>O187*D187*100</f>
        <v/>
      </c>
      <c r="R187" s="720" t="n"/>
      <c r="S187" s="721">
        <f>L187-Q187</f>
        <v/>
      </c>
      <c r="T187" s="94" t="n">
        <v>0.042</v>
      </c>
      <c r="U187" s="24" t="n">
        <v>4.2</v>
      </c>
    </row>
    <row r="188" hidden="1" ht="17.25" customHeight="1" s="326">
      <c r="D188" s="692" t="n">
        <v>1000</v>
      </c>
      <c r="E188" s="24" t="inlineStr">
        <is>
          <t>2.9207(101.8280)</t>
        </is>
      </c>
      <c r="F188" s="24" t="inlineStr">
        <is>
          <t xml:space="preserve"> 2.9414(102.8668)</t>
        </is>
      </c>
      <c r="G188" s="68" t="inlineStr">
        <is>
          <t>23惠民2B,143399.SZ</t>
        </is>
      </c>
      <c r="H188" s="70" t="n">
        <v>45863</v>
      </c>
      <c r="I188" s="99" t="n">
        <v>102.87</v>
      </c>
      <c r="J188" s="99" t="n">
        <v>103.3372</v>
      </c>
      <c r="K188" s="720">
        <f>D188*I188*100</f>
        <v/>
      </c>
      <c r="L188" s="720">
        <f>J188*D188*100</f>
        <v/>
      </c>
      <c r="M188" s="70" t="n">
        <v>45870</v>
      </c>
      <c r="N188" s="101" t="n">
        <v>101.5</v>
      </c>
      <c r="O188" s="101" t="n">
        <v>101.5935</v>
      </c>
      <c r="P188" s="720">
        <f>D188*N188*100</f>
        <v/>
      </c>
      <c r="Q188" s="720">
        <f>O188*D188*100</f>
        <v/>
      </c>
      <c r="R188" s="720" t="n"/>
      <c r="S188" s="721">
        <f>L188-Q188-W188*D188*100</f>
        <v/>
      </c>
      <c r="T188" s="94" t="n">
        <v>0.038</v>
      </c>
      <c r="U188" s="94" t="n">
        <v>0.029</v>
      </c>
      <c r="V188" s="15" t="inlineStr">
        <is>
          <t>7-28兑付</t>
        </is>
      </c>
      <c r="W188" s="15" t="n">
        <v>0.4926</v>
      </c>
    </row>
    <row r="189" hidden="1" ht="17.25" customHeight="1" s="326">
      <c r="D189" s="24" t="n"/>
      <c r="E189" s="24" t="n"/>
      <c r="F189" s="24" t="n"/>
      <c r="G189" s="24" t="n"/>
      <c r="H189" s="24" t="n"/>
      <c r="I189" s="24" t="n"/>
      <c r="J189" s="24" t="n"/>
      <c r="K189" s="24" t="n"/>
      <c r="L189" s="24" t="n"/>
      <c r="M189" s="24" t="n"/>
      <c r="N189" s="24" t="n"/>
      <c r="O189" s="24" t="n"/>
      <c r="P189" s="24" t="n"/>
      <c r="Q189" s="24" t="inlineStr">
        <is>
          <t>合计</t>
        </is>
      </c>
      <c r="R189" s="24" t="n"/>
      <c r="S189" s="721">
        <f>SUM(S185:S188)</f>
        <v/>
      </c>
    </row>
    <row r="190" hidden="1" s="326">
      <c r="J190" s="683" t="n"/>
      <c r="K190" s="683" t="n"/>
      <c r="L190" s="683" t="n"/>
      <c r="S190" s="104" t="n"/>
      <c r="W190" s="688" t="n"/>
    </row>
    <row r="191" hidden="1" ht="17.25" customHeight="1" s="326">
      <c r="I191" s="718" t="n"/>
      <c r="J191" s="683" t="n"/>
      <c r="K191" s="683" t="n"/>
      <c r="L191" s="683" t="n"/>
      <c r="S191" s="104" t="n"/>
    </row>
    <row r="192" hidden="1" ht="17.25" customHeight="1" s="326">
      <c r="H192" s="15" t="inlineStr">
        <is>
          <t>上家：元康盛景20号，询价qt 刘靖涛3003993899</t>
        </is>
      </c>
      <c r="I192" s="718" t="n"/>
      <c r="J192" s="683" t="n"/>
      <c r="K192" s="683" t="n"/>
      <c r="L192" s="683" t="n"/>
      <c r="Q192" s="15" t="inlineStr">
        <is>
          <t>补差金额</t>
        </is>
      </c>
      <c r="S192" s="721" t="n">
        <v>346013.68</v>
      </c>
    </row>
    <row r="193" hidden="1" s="326">
      <c r="D193" s="64" t="n"/>
      <c r="E193" s="64" t="n"/>
      <c r="F193" s="64" t="n"/>
      <c r="G193" s="64" t="n"/>
      <c r="H193" s="15" t="inlineStr">
        <is>
          <t>下家：苏州信托，询价qq徐健455768073</t>
        </is>
      </c>
      <c r="I193" s="64" t="n"/>
      <c r="J193" s="64" t="n"/>
      <c r="K193" s="64" t="n"/>
      <c r="L193" s="64" t="n"/>
      <c r="M193" s="64" t="n"/>
      <c r="N193" s="64" t="n"/>
      <c r="O193" s="64" t="n"/>
      <c r="P193" s="64" t="n"/>
      <c r="Q193" s="64" t="n"/>
      <c r="R193" s="64" t="n"/>
      <c r="S193" s="64" t="n"/>
    </row>
    <row r="194" hidden="1" s="326">
      <c r="D194" s="64" t="n"/>
      <c r="E194" s="64" t="n"/>
      <c r="F194" s="64" t="n"/>
      <c r="G194" s="64" t="n"/>
      <c r="H194" s="64" t="n"/>
      <c r="I194" s="64" t="n"/>
      <c r="J194" s="64" t="n"/>
      <c r="K194" s="64" t="n"/>
      <c r="L194" s="64" t="n"/>
      <c r="M194" s="64" t="n"/>
      <c r="N194" s="64" t="n"/>
      <c r="O194" s="64" t="n"/>
      <c r="P194" s="64" t="n"/>
      <c r="Q194" s="64" t="n"/>
      <c r="R194" s="64" t="n"/>
      <c r="S194" s="722">
        <f>S192-S189</f>
        <v/>
      </c>
    </row>
    <row r="195">
      <c r="D195" s="64" t="n"/>
      <c r="E195" s="64" t="n"/>
      <c r="F195" s="64" t="n"/>
      <c r="G195" s="64" t="n"/>
      <c r="H195" s="64" t="n"/>
      <c r="I195" s="64" t="n"/>
      <c r="J195" s="64" t="n"/>
      <c r="K195" s="64" t="n"/>
      <c r="L195" s="64" t="n"/>
      <c r="M195" s="26">
        <f>F82</f>
        <v/>
      </c>
      <c r="N195" s="15">
        <f>-H82</f>
        <v/>
      </c>
      <c r="O195" s="64" t="n"/>
      <c r="P195" s="64" t="n"/>
      <c r="Q195" s="64" t="n"/>
      <c r="R195" s="64" t="n"/>
      <c r="S195" s="64" t="n"/>
    </row>
    <row r="196">
      <c r="D196" s="64" t="n"/>
      <c r="E196" s="64" t="n"/>
      <c r="F196" s="64" t="n"/>
      <c r="G196" s="64" t="n"/>
      <c r="I196" s="64" t="n"/>
      <c r="J196" s="64" t="n"/>
      <c r="K196" s="64" t="n"/>
      <c r="L196" s="64" t="n"/>
      <c r="M196" s="26" t="n">
        <v>46036</v>
      </c>
      <c r="N196" s="15">
        <f>M82</f>
        <v/>
      </c>
      <c r="O196" s="64" t="n"/>
      <c r="P196" s="64" t="n"/>
      <c r="Q196" s="64" t="n"/>
      <c r="R196" s="64" t="n"/>
      <c r="S196" s="64" t="n"/>
    </row>
    <row r="197">
      <c r="M197" s="26">
        <f>P82</f>
        <v/>
      </c>
      <c r="N197" s="697">
        <f>O82</f>
        <v/>
      </c>
    </row>
    <row r="198">
      <c r="C198" s="15" t="inlineStr">
        <is>
          <t>五矿</t>
        </is>
      </c>
      <c r="D198" s="15" t="inlineStr">
        <is>
          <t>国君</t>
        </is>
      </c>
      <c r="G198" s="15" t="inlineStr">
        <is>
          <t>五矿</t>
        </is>
      </c>
      <c r="H198" s="15" t="inlineStr">
        <is>
          <t>国君</t>
        </is>
      </c>
    </row>
    <row r="199">
      <c r="B199" s="408" t="inlineStr">
        <is>
          <t>XIRR</t>
        </is>
      </c>
      <c r="C199" s="205">
        <f>XIRR(C200:C204,B200:B204)</f>
        <v/>
      </c>
      <c r="D199" s="55">
        <f>XIRR(D204:D205,B204:B205)</f>
        <v/>
      </c>
      <c r="F199" s="15">
        <f>B58</f>
        <v/>
      </c>
      <c r="G199" s="55">
        <f>XIRR(G200:G202,F200:F202)</f>
        <v/>
      </c>
      <c r="H199" s="55">
        <f>XIRR(H202:H204,F202:F204)</f>
        <v/>
      </c>
      <c r="J199" s="55">
        <f>XIRR(J200:J203,I200:I203)</f>
        <v/>
      </c>
      <c r="K199" s="55">
        <f>XIRR(K203:K204,I203:I204)</f>
        <v/>
      </c>
      <c r="M199" s="15">
        <f>B40</f>
        <v/>
      </c>
      <c r="N199" s="55">
        <f>XIRR(N200:N201,M200:M201)</f>
        <v/>
      </c>
      <c r="O199" s="55">
        <f>XIRR(O201:O203,M201:M203)</f>
        <v/>
      </c>
      <c r="Q199" s="55">
        <f>XIRR(Q201:Q203,P201:P203)</f>
        <v/>
      </c>
    </row>
    <row r="200">
      <c r="B200" s="26">
        <f>F200</f>
        <v/>
      </c>
      <c r="C200" s="697">
        <f>G200</f>
        <v/>
      </c>
      <c r="F200" s="26" t="n">
        <v>45867</v>
      </c>
      <c r="G200" s="697" t="n">
        <v>-101.0712</v>
      </c>
      <c r="H200" s="697" t="n"/>
      <c r="I200" s="26">
        <f>F200</f>
        <v/>
      </c>
      <c r="J200" s="697">
        <f>G200</f>
        <v/>
      </c>
      <c r="M200" s="26">
        <f>F40</f>
        <v/>
      </c>
      <c r="N200" s="15">
        <f>-H40</f>
        <v/>
      </c>
    </row>
    <row r="201">
      <c r="B201" s="26">
        <f>F201</f>
        <v/>
      </c>
      <c r="C201" s="697">
        <f>G201</f>
        <v/>
      </c>
      <c r="F201" s="26" t="n">
        <v>45896</v>
      </c>
      <c r="G201" s="697" t="n">
        <v>1.7466</v>
      </c>
      <c r="H201" s="697" t="n"/>
      <c r="I201" s="26">
        <f>F201</f>
        <v/>
      </c>
      <c r="J201" s="697">
        <f>G201</f>
        <v/>
      </c>
      <c r="M201" s="26">
        <f>P46</f>
        <v/>
      </c>
      <c r="N201" s="15" t="n">
        <v>110.242</v>
      </c>
      <c r="O201" s="15">
        <f>-N201</f>
        <v/>
      </c>
      <c r="P201" s="26">
        <f>P43</f>
        <v/>
      </c>
      <c r="Q201" s="15">
        <f>-109.778</f>
        <v/>
      </c>
    </row>
    <row r="202">
      <c r="B202" s="26">
        <f>F203</f>
        <v/>
      </c>
      <c r="C202" s="723">
        <f>J202</f>
        <v/>
      </c>
      <c r="F202" s="26">
        <f>F58</f>
        <v/>
      </c>
      <c r="G202" s="697">
        <f>H58</f>
        <v/>
      </c>
      <c r="H202" s="697">
        <f>-G202</f>
        <v/>
      </c>
      <c r="I202" s="26">
        <f>F203</f>
        <v/>
      </c>
      <c r="J202" s="15">
        <f>G203</f>
        <v/>
      </c>
      <c r="M202" s="26" t="n">
        <v>45959</v>
      </c>
      <c r="N202" s="15" t="n">
        <v>2.603</v>
      </c>
      <c r="O202" s="15">
        <f>N202</f>
        <v/>
      </c>
      <c r="P202" s="26">
        <f>M202</f>
        <v/>
      </c>
      <c r="Q202" s="15">
        <f>O202</f>
        <v/>
      </c>
    </row>
    <row r="203">
      <c r="B203" s="26" t="n">
        <v>46108</v>
      </c>
      <c r="C203" s="723" t="n">
        <v>2.6082</v>
      </c>
      <c r="D203" s="688" t="n"/>
      <c r="F203" s="26" t="n">
        <v>45996</v>
      </c>
      <c r="G203" s="15" t="n">
        <v>2.3288</v>
      </c>
      <c r="H203" s="724">
        <f>G203</f>
        <v/>
      </c>
      <c r="I203" s="26" t="n">
        <v>46021</v>
      </c>
      <c r="J203" s="683" t="n">
        <v>100</v>
      </c>
      <c r="K203" s="683">
        <f>-J203</f>
        <v/>
      </c>
      <c r="M203" s="26" t="n">
        <v>45965</v>
      </c>
      <c r="N203" s="693">
        <f>-N200*6%/365*(M203-M200)+109-N202</f>
        <v/>
      </c>
      <c r="O203" s="693">
        <f>N203</f>
        <v/>
      </c>
      <c r="P203" s="26">
        <f>M203</f>
        <v/>
      </c>
      <c r="Q203" s="693">
        <f>O203</f>
        <v/>
      </c>
    </row>
    <row r="204">
      <c r="B204" s="26" t="n">
        <v>46122</v>
      </c>
      <c r="C204" s="725" t="n">
        <v>99.3</v>
      </c>
      <c r="D204" s="688">
        <f>-C204</f>
        <v/>
      </c>
      <c r="E204" s="723" t="n"/>
      <c r="F204" s="26" t="n">
        <v>46063</v>
      </c>
      <c r="G204" s="15">
        <f>-G200*(1+6%/365*(F204-F200))-G201-G203</f>
        <v/>
      </c>
      <c r="H204" s="724" t="n">
        <v>100.12</v>
      </c>
      <c r="I204" s="26" t="n">
        <v>46063</v>
      </c>
      <c r="J204" s="694">
        <f>-J200*(1+6%/365*(I204-I200))-J201-J202</f>
        <v/>
      </c>
      <c r="K204" s="694">
        <f>H204</f>
        <v/>
      </c>
      <c r="M204" s="26" t="n"/>
      <c r="N204" s="693" t="n"/>
      <c r="O204" s="693" t="n"/>
      <c r="P204" s="26" t="n"/>
      <c r="Q204" s="693" t="n"/>
    </row>
    <row r="205">
      <c r="B205" s="26" t="n">
        <v>46198</v>
      </c>
      <c r="C205" s="723">
        <f>-C200*(1+6%/365*(B205-B200))-SUM(C201:C203)</f>
        <v/>
      </c>
      <c r="D205" s="688">
        <f>C205</f>
        <v/>
      </c>
      <c r="E205" s="723" t="n"/>
      <c r="F205" s="26" t="n"/>
      <c r="H205" s="724" t="n"/>
      <c r="M205" s="26" t="n"/>
      <c r="N205" s="693" t="n"/>
      <c r="O205" s="693" t="n"/>
      <c r="P205" s="26" t="n"/>
      <c r="Q205" s="693" t="n"/>
    </row>
    <row r="207">
      <c r="F207" s="15">
        <f>B53</f>
        <v/>
      </c>
      <c r="G207" s="55">
        <f>XIRR(G208:G210,F208:F210)</f>
        <v/>
      </c>
      <c r="I207" s="723" t="n"/>
      <c r="J207" s="726" t="n"/>
    </row>
    <row r="208">
      <c r="F208" s="26">
        <f>F53</f>
        <v/>
      </c>
      <c r="G208" s="15">
        <f>-H53</f>
        <v/>
      </c>
      <c r="M208" s="15">
        <f>B37</f>
        <v/>
      </c>
      <c r="N208" s="727">
        <f>XIRR(N209:N212,M209:M212)</f>
        <v/>
      </c>
    </row>
    <row r="209">
      <c r="F209" s="26" t="n">
        <v>45960</v>
      </c>
      <c r="G209" s="15" t="n">
        <v>101.078</v>
      </c>
      <c r="M209" s="26">
        <f>F37</f>
        <v/>
      </c>
      <c r="N209" s="15">
        <f>-H37</f>
        <v/>
      </c>
      <c r="P209" s="26">
        <f>M209</f>
        <v/>
      </c>
    </row>
    <row r="210">
      <c r="M210" s="26" t="n">
        <v>45958</v>
      </c>
      <c r="N210" s="15" t="n">
        <v>1.726</v>
      </c>
      <c r="P210" s="26">
        <f>M210</f>
        <v/>
      </c>
    </row>
    <row r="211">
      <c r="F211" s="15">
        <f>B60</f>
        <v/>
      </c>
      <c r="G211" s="55">
        <f>XIRR(G212:G214,F212:F214)</f>
        <v/>
      </c>
      <c r="M211" s="26" t="n">
        <v>46044</v>
      </c>
      <c r="N211" s="693" t="n">
        <v>1.1781</v>
      </c>
      <c r="P211" s="26">
        <f>M211</f>
        <v/>
      </c>
    </row>
    <row r="212">
      <c r="F212" s="26">
        <f>F60</f>
        <v/>
      </c>
      <c r="G212" s="15">
        <f>-H212-I212</f>
        <v/>
      </c>
      <c r="H212" s="15" t="n">
        <v>0.49315</v>
      </c>
      <c r="I212" s="15" t="n">
        <v>101.7329</v>
      </c>
      <c r="M212" s="26" t="n">
        <v>46050</v>
      </c>
      <c r="N212" s="693" t="n">
        <v>100.02</v>
      </c>
      <c r="P212" s="26">
        <f>M212</f>
        <v/>
      </c>
    </row>
    <row r="213">
      <c r="F213" s="26" t="n">
        <v>45927</v>
      </c>
      <c r="G213" s="15" t="n">
        <v>0.5096000000000001</v>
      </c>
      <c r="H213" s="15" t="inlineStr">
        <is>
          <t>10-22应计利息</t>
        </is>
      </c>
      <c r="I213" s="15" t="inlineStr">
        <is>
          <t>净价</t>
        </is>
      </c>
    </row>
    <row r="214">
      <c r="F214" s="26" t="n">
        <v>45952</v>
      </c>
      <c r="G214" s="15">
        <f>-G212*(1+3.2%/365*(F214-F212))-G213</f>
        <v/>
      </c>
      <c r="H214" s="15">
        <f>ROUND(100*6%/365*(F214-F213),5)</f>
        <v/>
      </c>
      <c r="I214" s="15">
        <f>G214-H214</f>
        <v/>
      </c>
    </row>
    <row r="215">
      <c r="F215" s="45" t="n"/>
    </row>
    <row r="216">
      <c r="F216" s="15">
        <f>B36</f>
        <v/>
      </c>
      <c r="G216" s="55">
        <f>XIRR(G217:G223,F217:F223)</f>
        <v/>
      </c>
      <c r="M216" s="15">
        <f>B64</f>
        <v/>
      </c>
      <c r="N216" s="205">
        <f>XIRR(N217:N218,M217:M218)</f>
        <v/>
      </c>
    </row>
    <row r="217">
      <c r="F217" s="26">
        <f>F36</f>
        <v/>
      </c>
      <c r="G217" s="683">
        <f>-H36</f>
        <v/>
      </c>
      <c r="M217" s="26">
        <f>F64</f>
        <v/>
      </c>
      <c r="N217" s="15">
        <f>-H64</f>
        <v/>
      </c>
    </row>
    <row r="218">
      <c r="F218" s="26" t="n">
        <v>45866</v>
      </c>
      <c r="G218" s="683" t="n">
        <v>0.5014</v>
      </c>
      <c r="M218" s="26">
        <f>P64</f>
        <v/>
      </c>
      <c r="N218" s="697">
        <f>O64</f>
        <v/>
      </c>
    </row>
    <row r="219">
      <c r="F219" s="26" t="n">
        <v>45896</v>
      </c>
      <c r="G219" s="683" t="n">
        <v>6.4581</v>
      </c>
      <c r="M219" s="26">
        <f>P65</f>
        <v/>
      </c>
    </row>
    <row r="220">
      <c r="F220" s="26" t="n">
        <v>45928</v>
      </c>
      <c r="G220" s="683" t="n">
        <v>17.3673</v>
      </c>
    </row>
    <row r="221">
      <c r="F221" s="26" t="n">
        <v>45957</v>
      </c>
      <c r="G221" s="683" t="n">
        <v>17.027</v>
      </c>
    </row>
    <row r="222">
      <c r="F222" s="26" t="n">
        <v>45988</v>
      </c>
      <c r="G222" s="15" t="n">
        <v>17.0936</v>
      </c>
    </row>
    <row r="223">
      <c r="F223" s="26" t="n">
        <v>46011</v>
      </c>
      <c r="G223" s="15" t="n">
        <v>43.98</v>
      </c>
      <c r="H223" s="15" t="inlineStr">
        <is>
          <t>剩余面值</t>
        </is>
      </c>
      <c r="I223" s="15" t="n">
        <v>43.76</v>
      </c>
    </row>
    <row r="224">
      <c r="H224" s="15" t="inlineStr">
        <is>
          <t>应计利息</t>
        </is>
      </c>
      <c r="I224" s="15">
        <f>I223*6.1%/365*(F223-F222)</f>
        <v/>
      </c>
    </row>
    <row r="225">
      <c r="G225" s="55">
        <f>XIRR(G226:G229,F226:F229)</f>
        <v/>
      </c>
      <c r="H225" s="15" t="inlineStr">
        <is>
          <t>净价</t>
        </is>
      </c>
      <c r="I225" s="683">
        <f>G223-I224</f>
        <v/>
      </c>
    </row>
    <row r="226">
      <c r="F226" s="26">
        <f>F223</f>
        <v/>
      </c>
      <c r="G226" s="15" t="n">
        <v>-44.04</v>
      </c>
      <c r="I226" s="15">
        <f>I223</f>
        <v/>
      </c>
    </row>
    <row r="227">
      <c r="F227" s="26" t="n">
        <v>46018</v>
      </c>
      <c r="G227" s="683">
        <f>I226*6.1%/365*(F227-F222)+H227</f>
        <v/>
      </c>
      <c r="H227" s="15" t="n">
        <v>16</v>
      </c>
      <c r="I227" s="15">
        <f>I226-H227</f>
        <v/>
      </c>
    </row>
    <row r="228">
      <c r="F228" s="26" t="n">
        <v>46049</v>
      </c>
      <c r="G228" s="683">
        <f>I227*6.1%/365*(F228-F227)+H228</f>
        <v/>
      </c>
      <c r="H228" s="15" t="n">
        <v>16</v>
      </c>
      <c r="I228" s="15">
        <f>I227-H228</f>
        <v/>
      </c>
    </row>
    <row r="229">
      <c r="F229" s="26" t="n">
        <v>46080</v>
      </c>
      <c r="G229" s="683">
        <f>I228*6.1%/365*(F229-F228)+H229</f>
        <v/>
      </c>
      <c r="H229" s="15">
        <f>I228</f>
        <v/>
      </c>
    </row>
    <row r="232" customFormat="1" s="391">
      <c r="B232" s="382" t="inlineStr">
        <is>
          <t>24和赢易鑫ABN001BC优先B</t>
        </is>
      </c>
      <c r="C232" s="385">
        <f>XIRR(C233:C242,B233:B242)</f>
        <v/>
      </c>
      <c r="E232" s="382" t="inlineStr">
        <is>
          <t>24易鑫恒通ABN001优先</t>
        </is>
      </c>
      <c r="F232" s="385">
        <f>XIRR(F233:F242,E233:E242)</f>
        <v/>
      </c>
      <c r="H232" s="382" t="inlineStr">
        <is>
          <t>25和赢易鑫ABN001BC优先B</t>
        </is>
      </c>
      <c r="I232" s="385">
        <f>XIRR(I233:I246,H233:H246)</f>
        <v/>
      </c>
      <c r="K232" s="391" t="inlineStr">
        <is>
          <t>24易鑫恒通ABN001优先B</t>
        </is>
      </c>
      <c r="L232" s="385">
        <f>XIRR(L233:L242,K233:K242)</f>
        <v/>
      </c>
      <c r="M232" s="385" t="n"/>
      <c r="N232" s="391" t="inlineStr">
        <is>
          <t>24易鑫恒通ABN001优先B</t>
        </is>
      </c>
      <c r="O232" s="385">
        <f>XIRR(O233:O243,N233:N243)</f>
        <v/>
      </c>
    </row>
    <row r="233" customFormat="1" s="391">
      <c r="B233" s="387" t="n">
        <v>45881</v>
      </c>
      <c r="C233" s="388" t="n">
        <v>-102.928</v>
      </c>
      <c r="E233" s="387" t="n">
        <v>45867</v>
      </c>
      <c r="F233" s="388" t="n">
        <v>-101.85</v>
      </c>
      <c r="H233" s="383" t="n">
        <v>45904</v>
      </c>
      <c r="I233" s="728" t="n">
        <v>-602.22294</v>
      </c>
      <c r="K233" s="466" t="n">
        <v>45867</v>
      </c>
      <c r="L233" s="391" t="n">
        <v>-101.88452</v>
      </c>
      <c r="N233" s="466" t="n">
        <v>45867</v>
      </c>
      <c r="O233" s="391" t="n">
        <v>-101.88452</v>
      </c>
    </row>
    <row r="234" customFormat="1" s="391">
      <c r="B234" s="387" t="n">
        <v>45896</v>
      </c>
      <c r="C234" s="729" t="n">
        <v>0.437397261682243</v>
      </c>
      <c r="E234" s="387" t="n">
        <v>45895</v>
      </c>
      <c r="F234" s="729" t="n">
        <v>0.35671233</v>
      </c>
      <c r="G234" s="730" t="n"/>
      <c r="H234" s="383" t="n">
        <v>46010</v>
      </c>
      <c r="I234" s="728" t="n">
        <v>-1422.80656</v>
      </c>
      <c r="K234" s="466" t="n">
        <v>45895.00049768519</v>
      </c>
      <c r="L234" s="731" t="n">
        <v>0.35671233</v>
      </c>
      <c r="M234" s="730" t="n"/>
      <c r="N234" s="466" t="n">
        <v>45895.00049768519</v>
      </c>
      <c r="O234" s="658" t="n">
        <v>0.3567</v>
      </c>
    </row>
    <row r="235" customFormat="1" s="391">
      <c r="B235" s="387" t="n">
        <v>45927</v>
      </c>
      <c r="C235" s="729" t="n">
        <v>0.437397261682243</v>
      </c>
      <c r="E235" s="387" t="n">
        <v>45926</v>
      </c>
      <c r="F235" s="729" t="n">
        <v>0.35671233</v>
      </c>
      <c r="H235" s="383" t="n">
        <v>45804</v>
      </c>
      <c r="I235" s="728" t="n">
        <v>0</v>
      </c>
      <c r="K235" s="466" t="n">
        <v>45926.00049768519</v>
      </c>
      <c r="L235" s="731" t="n">
        <v>0.35671233</v>
      </c>
      <c r="M235" s="730" t="n"/>
      <c r="N235" s="466" t="n">
        <v>45926.00049768519</v>
      </c>
      <c r="O235" s="658" t="n">
        <v>0.3567</v>
      </c>
    </row>
    <row r="236" customFormat="1" s="391">
      <c r="B236" s="387" t="n">
        <v>45957</v>
      </c>
      <c r="C236" s="729" t="n">
        <v>0.4232876728971963</v>
      </c>
      <c r="E236" s="387" t="n">
        <v>45957</v>
      </c>
      <c r="F236" s="729" t="n">
        <v>0.34520548</v>
      </c>
      <c r="H236" s="383" t="n">
        <v>45835</v>
      </c>
      <c r="I236" s="728" t="n">
        <v>0</v>
      </c>
      <c r="K236" s="466" t="n">
        <v>45957.00049768519</v>
      </c>
      <c r="L236" s="731" t="n">
        <v>0.34520548</v>
      </c>
      <c r="M236" s="730" t="n"/>
      <c r="N236" s="466" t="n">
        <v>45957.00049768519</v>
      </c>
      <c r="O236" s="658" t="n">
        <v>0.3452</v>
      </c>
    </row>
    <row r="237" customFormat="1" s="391">
      <c r="B237" s="387" t="n">
        <v>45988</v>
      </c>
      <c r="C237" s="729" t="n">
        <v>0.437397261682243</v>
      </c>
      <c r="E237" s="387" t="n">
        <v>45987</v>
      </c>
      <c r="F237" s="729" t="n">
        <v>0.35671233</v>
      </c>
      <c r="H237" s="383" t="n">
        <v>45865</v>
      </c>
      <c r="I237" s="728" t="n">
        <v>0</v>
      </c>
      <c r="K237" s="466" t="n">
        <v>45987.00049768519</v>
      </c>
      <c r="L237" s="731" t="n">
        <v>0.35671233</v>
      </c>
      <c r="M237" s="730" t="n"/>
      <c r="N237" s="466" t="n">
        <v>45987.00049768519</v>
      </c>
      <c r="O237" s="658" t="n">
        <v>0.3567</v>
      </c>
    </row>
    <row r="238" customFormat="1" s="391">
      <c r="B238" s="387" t="n">
        <v>46018</v>
      </c>
      <c r="C238" s="729" t="n">
        <v>0.4232876728971963</v>
      </c>
      <c r="E238" s="387" t="n">
        <v>46017</v>
      </c>
      <c r="F238" s="729" t="n">
        <v>0.34520548</v>
      </c>
      <c r="H238" s="383" t="n">
        <v>45896</v>
      </c>
      <c r="I238" s="728" t="n">
        <v>0</v>
      </c>
      <c r="K238" s="466" t="n">
        <v>46017.00049768519</v>
      </c>
      <c r="L238" s="731" t="n">
        <v>0.34520548</v>
      </c>
      <c r="M238" s="730" t="n"/>
      <c r="N238" s="466" t="n">
        <v>46017.00049768519</v>
      </c>
      <c r="O238" s="658" t="n">
        <v>0.3452</v>
      </c>
    </row>
    <row r="239" customFormat="1" s="391">
      <c r="B239" s="387" t="n">
        <v>46049</v>
      </c>
      <c r="C239" s="729" t="n">
        <v>0.437397261682243</v>
      </c>
      <c r="E239" s="387" t="n">
        <v>46048</v>
      </c>
      <c r="F239" s="729" t="n">
        <v>0.35671233</v>
      </c>
      <c r="H239" s="383" t="n">
        <v>45927</v>
      </c>
      <c r="I239" s="728" t="n">
        <v>1.936438358490566</v>
      </c>
      <c r="K239" s="466" t="n">
        <v>46048.00049768519</v>
      </c>
      <c r="L239" s="731" t="n">
        <v>0.35671233</v>
      </c>
      <c r="M239" s="730" t="n"/>
      <c r="N239" s="466" t="n">
        <v>46048.00049768519</v>
      </c>
      <c r="O239" s="658" t="n">
        <v>0.3567</v>
      </c>
    </row>
    <row r="240" customFormat="1" s="391">
      <c r="B240" s="387" t="n">
        <v>46080</v>
      </c>
      <c r="C240" s="729" t="n">
        <v>0.437397261682243</v>
      </c>
      <c r="E240" s="387" t="n">
        <v>46079</v>
      </c>
      <c r="F240" s="729" t="n">
        <v>0.35671233</v>
      </c>
      <c r="H240" s="383" t="n">
        <v>45957</v>
      </c>
      <c r="I240" s="728" t="n">
        <v>1.87397258490566</v>
      </c>
      <c r="K240" s="466" t="n">
        <v>46079.00049768519</v>
      </c>
      <c r="L240" s="731" t="n">
        <v>0.35671233</v>
      </c>
      <c r="M240" s="730" t="n"/>
      <c r="N240" s="466" t="n">
        <v>46079.00049768519</v>
      </c>
      <c r="O240" s="658" t="n">
        <v>0.3567</v>
      </c>
    </row>
    <row r="241" customFormat="1" s="391">
      <c r="B241" s="387" t="n">
        <v>46108</v>
      </c>
      <c r="C241" s="729" t="n">
        <v>0.3950684953271028</v>
      </c>
      <c r="E241" s="387" t="n">
        <v>46107</v>
      </c>
      <c r="F241" s="729" t="n">
        <v>0.32219178</v>
      </c>
      <c r="H241" s="383" t="n">
        <v>45988</v>
      </c>
      <c r="I241" s="728" t="n">
        <v>1.936438358490566</v>
      </c>
      <c r="K241" s="466" t="n">
        <v>46107.00049768519</v>
      </c>
      <c r="L241" s="731" t="n">
        <v>0.32219178</v>
      </c>
      <c r="M241" s="730" t="n"/>
      <c r="N241" s="466" t="n">
        <v>46107.00049768519</v>
      </c>
      <c r="O241" s="658" t="n">
        <v>0.3222</v>
      </c>
    </row>
    <row r="242" customFormat="1" s="391">
      <c r="B242" s="387" t="n">
        <v>46122</v>
      </c>
      <c r="C242" s="732" t="n">
        <v>101.8275342465753</v>
      </c>
      <c r="E242" s="387" t="n">
        <v>46122</v>
      </c>
      <c r="F242" s="732" t="n">
        <v>101.502602739726</v>
      </c>
      <c r="H242" s="383" t="n">
        <v>46018</v>
      </c>
      <c r="I242" s="728" t="n">
        <v>6.246575283018867</v>
      </c>
      <c r="K242" s="466" t="n">
        <v>46135</v>
      </c>
      <c r="L242" s="731" t="n">
        <v>101.66</v>
      </c>
      <c r="N242" s="466" t="n">
        <v>46139</v>
      </c>
      <c r="O242" s="391" t="n">
        <v>0.3567</v>
      </c>
    </row>
    <row r="243" customFormat="1" s="391">
      <c r="H243" s="383" t="n">
        <v>46049</v>
      </c>
      <c r="I243" s="728" t="n">
        <v>6.454794528301886</v>
      </c>
      <c r="K243" s="466" t="n"/>
      <c r="N243" s="466" t="n">
        <v>46162</v>
      </c>
      <c r="O243" s="731" t="n">
        <v>101.56</v>
      </c>
      <c r="P243" s="733">
        <f>O243-4.2*(N243-N242)/365</f>
        <v/>
      </c>
    </row>
    <row r="244" customFormat="1" s="391">
      <c r="B244" s="396" t="inlineStr">
        <is>
          <t>全价</t>
        </is>
      </c>
      <c r="C244" s="730">
        <f>C242</f>
        <v/>
      </c>
      <c r="E244" s="396" t="inlineStr">
        <is>
          <t>全价</t>
        </is>
      </c>
      <c r="F244" s="730">
        <f>F242</f>
        <v/>
      </c>
      <c r="H244" s="383" t="n">
        <v>46080</v>
      </c>
      <c r="I244" s="728" t="n">
        <v>6.454794528301886</v>
      </c>
      <c r="K244" s="466" t="n"/>
    </row>
    <row r="245" customFormat="1" s="391">
      <c r="B245" s="396" t="inlineStr">
        <is>
          <t>净价</t>
        </is>
      </c>
      <c r="C245" s="393" t="n">
        <v>101.63</v>
      </c>
      <c r="E245" s="396" t="inlineStr">
        <is>
          <t>净价</t>
        </is>
      </c>
      <c r="F245" s="393" t="n">
        <v>101.33</v>
      </c>
      <c r="H245" s="383" t="n">
        <v>46108</v>
      </c>
      <c r="I245" s="728" t="n">
        <v>5.830136981132076</v>
      </c>
      <c r="K245" s="466" t="n"/>
    </row>
    <row r="246" customFormat="1" s="391">
      <c r="B246" s="396" t="inlineStr">
        <is>
          <t>3/31估值</t>
        </is>
      </c>
      <c r="C246" s="734" t="n">
        <v>102.0795</v>
      </c>
      <c r="E246" s="396" t="inlineStr">
        <is>
          <t>3/31估值</t>
        </is>
      </c>
      <c r="F246" s="734" t="n">
        <v>101.6631</v>
      </c>
      <c r="H246" s="383" t="n">
        <v>46122</v>
      </c>
      <c r="I246" s="728" t="n">
        <v>2021.735068493151</v>
      </c>
      <c r="K246" s="466" t="n"/>
    </row>
    <row r="247" customFormat="1" s="391">
      <c r="K247" s="466" t="n"/>
    </row>
    <row r="248" customFormat="1" s="391">
      <c r="H248" s="396" t="inlineStr">
        <is>
          <t>全价</t>
        </is>
      </c>
      <c r="I248" s="734" t="n">
        <v>101.0867534246575</v>
      </c>
    </row>
    <row r="249" ht="17.25" customHeight="1" s="326">
      <c r="H249" s="396" t="inlineStr">
        <is>
          <t>净价</t>
        </is>
      </c>
      <c r="I249" s="735" t="n">
        <v>100.941</v>
      </c>
    </row>
    <row r="250" ht="17.25" customHeight="1" s="326">
      <c r="H250" s="396" t="inlineStr">
        <is>
          <t>3/31估值</t>
        </is>
      </c>
      <c r="I250" s="736" t="n">
        <v>101.8092</v>
      </c>
    </row>
    <row r="253" ht="17.25" customHeight="1" s="326">
      <c r="B253" s="24" t="inlineStr">
        <is>
          <t>26美团美好ABN001次</t>
        </is>
      </c>
      <c r="C253" s="205">
        <f>XIRR(C254:C255,B254:B255)</f>
        <v/>
      </c>
      <c r="F253" s="534" t="inlineStr">
        <is>
          <t>25京能4号ABN001次（绿色）</t>
        </is>
      </c>
      <c r="G253" s="533">
        <f>XIRR(G254:G257,F254:F257)</f>
        <v/>
      </c>
      <c r="H253" s="533">
        <f>XIRR(H254:H258,F254:F258)</f>
        <v/>
      </c>
      <c r="J253" s="391" t="inlineStr">
        <is>
          <t>GC港华智慧能源01</t>
        </is>
      </c>
      <c r="K253" s="533">
        <f>XIRR(K254:K257,J254:J257)</f>
        <v/>
      </c>
      <c r="M253" s="391" t="inlineStr">
        <is>
          <t>铁建085C</t>
        </is>
      </c>
      <c r="N253" s="533">
        <f>XIRR(N254:N257,M254:M257)</f>
        <v/>
      </c>
    </row>
    <row r="254" ht="17.25" customHeight="1" s="326">
      <c r="B254" s="17" t="n">
        <v>46098</v>
      </c>
      <c r="C254" s="680" t="n">
        <v>-100</v>
      </c>
      <c r="F254" s="466" t="n">
        <v>45968</v>
      </c>
      <c r="G254" s="391" t="n">
        <v>-100</v>
      </c>
      <c r="H254" s="15">
        <f>G254</f>
        <v/>
      </c>
      <c r="J254" s="466" t="n">
        <v>46098</v>
      </c>
      <c r="K254" s="391" t="n">
        <v>-100</v>
      </c>
      <c r="M254" s="466" t="n">
        <v>46111</v>
      </c>
      <c r="N254" s="391" t="n">
        <v>-100</v>
      </c>
    </row>
    <row r="255" ht="17.25" customHeight="1" s="326">
      <c r="B255" s="26" t="n">
        <v>46141</v>
      </c>
      <c r="C255" s="15" t="n">
        <v>100.463</v>
      </c>
      <c r="D255" s="15">
        <f>+-C254*(1+4%*(B255-B254)/365)</f>
        <v/>
      </c>
      <c r="F255" s="466" t="n">
        <v>46022</v>
      </c>
      <c r="G255" s="391" t="n">
        <v>1.2575</v>
      </c>
      <c r="H255" s="15">
        <f>G255</f>
        <v/>
      </c>
      <c r="J255" s="466" t="n">
        <v>46157</v>
      </c>
      <c r="K255" s="658">
        <f>100*(1+7.43%*(J255-J254+1)/365)</f>
        <v/>
      </c>
      <c r="M255" s="125" t="n">
        <v>46157</v>
      </c>
      <c r="N255" s="10" t="n">
        <v>100.556</v>
      </c>
    </row>
    <row r="256" ht="17.25" customHeight="1" s="326">
      <c r="F256" s="466" t="n">
        <v>46101</v>
      </c>
      <c r="G256" s="391" t="n">
        <v>1.8397</v>
      </c>
      <c r="H256" s="15">
        <f>G256</f>
        <v/>
      </c>
      <c r="M256" s="125" t="n"/>
      <c r="N256" s="10" t="n"/>
    </row>
    <row r="257" ht="17.25" customHeight="1" s="326">
      <c r="F257" s="466" t="n">
        <v>46154</v>
      </c>
      <c r="G257" s="391" t="n">
        <v>99.825</v>
      </c>
    </row>
    <row r="258" ht="17.25" customHeight="1" s="326">
      <c r="B258" s="396" t="inlineStr">
        <is>
          <t>铁建085C</t>
        </is>
      </c>
      <c r="C258" s="205">
        <f>XIRR(C259:C260,B259:B260)</f>
        <v/>
      </c>
      <c r="F258" s="26" t="n">
        <v>46161</v>
      </c>
      <c r="H258" s="15">
        <f>-H254*(1+6.5%/365*(F258-F254))-H255-H256</f>
        <v/>
      </c>
    </row>
    <row r="259">
      <c r="B259" s="387" t="n">
        <v>46111</v>
      </c>
      <c r="C259" s="737" t="n">
        <v>-100</v>
      </c>
    </row>
    <row r="260">
      <c r="B260" s="387" t="n">
        <v>46141</v>
      </c>
      <c r="C260" s="737" t="n">
        <v>100.363</v>
      </c>
    </row>
    <row r="262" ht="17.25" customHeight="1" s="326">
      <c r="B262" s="24" t="n"/>
    </row>
    <row r="263" ht="17.25" customHeight="1" s="326">
      <c r="B263" s="391" t="n"/>
      <c r="C263" s="391" t="n"/>
    </row>
    <row r="264" ht="17.25" customHeight="1" s="326">
      <c r="B264" s="396" t="n"/>
      <c r="C264" s="533" t="n"/>
      <c r="E264" s="533" t="n"/>
    </row>
    <row r="265" ht="17.25" customHeight="1" s="326">
      <c r="B265" s="466" t="n"/>
      <c r="C265" s="738" t="n"/>
    </row>
    <row r="266">
      <c r="B266" s="26" t="n"/>
    </row>
    <row r="267">
      <c r="B267" s="26" t="n"/>
    </row>
    <row r="268">
      <c r="B268" s="45" t="n"/>
      <c r="I268" s="26" t="n"/>
    </row>
    <row r="269" ht="17.25" customHeight="1" s="326">
      <c r="D269" s="466" t="n"/>
      <c r="I269" s="26" t="n"/>
    </row>
  </sheetData>
  <autoFilter ref="A1:X1"/>
  <pageMargins left="0.7" right="0.7" top="0.75" bottom="0.75" header="0.3" footer="0.3"/>
  <pageSetup orientation="portrait" paperSize="9"/>
</worksheet>
</file>

<file path=xl/worksheets/sheet25.xml><?xml version="1.0" encoding="utf-8"?>
<worksheet xmlns="http://schemas.openxmlformats.org/spreadsheetml/2006/main">
  <sheetPr codeName="Sheet18">
    <tabColor theme="4" tint="0.7999816888943144"/>
    <outlinePr summaryBelow="1" summaryRight="1"/>
    <pageSetUpPr/>
  </sheetPr>
  <dimension ref="A1:R190"/>
  <sheetViews>
    <sheetView zoomScale="106" zoomScaleNormal="106" workbookViewId="0">
      <pane ySplit="1" topLeftCell="A91" activePane="bottomLeft" state="frozen"/>
      <selection pane="bottomLeft" activeCell="D108" sqref="D108"/>
    </sheetView>
  </sheetViews>
  <sheetFormatPr baseColWidth="8" defaultColWidth="8.5" defaultRowHeight="14.25"/>
  <cols>
    <col width="4.625" customWidth="1" style="128" min="1" max="1"/>
    <col width="19.5" customWidth="1" style="128" min="2" max="2"/>
    <col width="8.5" customWidth="1" style="128" min="3" max="3"/>
    <col width="12.125" customWidth="1" style="128" min="4" max="4"/>
    <col width="9.625" customWidth="1" style="349" min="5" max="5"/>
    <col width="14" customWidth="1" style="131" min="6" max="6"/>
    <col width="10.25" customWidth="1" style="657" min="7" max="7"/>
    <col width="11.625" customWidth="1" style="657" min="8" max="8"/>
    <col width="12.875" customWidth="1" style="657" min="9" max="9"/>
    <col width="10.875" customWidth="1" style="350" min="10" max="10"/>
    <col width="17.625" customWidth="1" style="128" min="11" max="12"/>
    <col width="8.625" customWidth="1" style="128" min="13" max="13"/>
    <col width="12" customWidth="1" style="128" min="14" max="14"/>
    <col width="13.25" bestFit="1" customWidth="1" style="128" min="15" max="15"/>
    <col width="8.5" customWidth="1" style="128" min="16" max="16"/>
    <col width="11.75" customWidth="1" style="128" min="17" max="17"/>
    <col width="8.5" customWidth="1" style="128" min="18" max="16384"/>
  </cols>
  <sheetData>
    <row r="1" ht="57" customHeight="1" s="326">
      <c r="A1" s="11" t="n"/>
      <c r="B1" s="127" t="inlineStr">
        <is>
          <t>证券名称</t>
        </is>
      </c>
      <c r="C1" s="127" t="inlineStr">
        <is>
          <t>合作方</t>
        </is>
      </c>
      <c r="D1" s="127" t="inlineStr">
        <is>
          <t>资产类别</t>
        </is>
      </c>
      <c r="E1" s="137" t="inlineStr">
        <is>
          <t>成本</t>
        </is>
      </c>
      <c r="F1" s="127" t="inlineStr">
        <is>
          <t>合作方最早买入时间</t>
        </is>
      </c>
      <c r="G1" s="739" t="inlineStr">
        <is>
          <t>买入规模</t>
        </is>
      </c>
      <c r="H1" s="739" t="inlineStr">
        <is>
          <t>持仓规模</t>
        </is>
      </c>
      <c r="I1" s="740" t="inlineStr">
        <is>
          <t>剩余本金</t>
        </is>
      </c>
      <c r="J1" s="143" t="inlineStr">
        <is>
          <t>卖出时间</t>
        </is>
      </c>
      <c r="K1" s="143" t="inlineStr">
        <is>
          <t>备注</t>
        </is>
      </c>
      <c r="L1" s="177" t="inlineStr">
        <is>
          <t>证券代码</t>
        </is>
      </c>
      <c r="M1" s="176" t="inlineStr">
        <is>
          <t>面值 
=@b_info_latestpar(l12,"")</t>
        </is>
      </c>
      <c r="N1" s="176" t="inlineStr">
        <is>
          <t>下个本金兑付日 
=@b_anal_nxcupn(L12)</t>
        </is>
      </c>
      <c r="O1" s="278">
        <f>MIN(N:N)</f>
        <v/>
      </c>
      <c r="P1" s="128" t="inlineStr">
        <is>
          <t>国泰海通需补差</t>
        </is>
      </c>
    </row>
    <row r="2">
      <c r="B2" s="128" t="inlineStr">
        <is>
          <t>20工元至诚5C</t>
        </is>
      </c>
      <c r="C2" s="128" t="inlineStr">
        <is>
          <t>国泰海通</t>
        </is>
      </c>
      <c r="D2" s="128" t="inlineStr">
        <is>
          <t>信用卡消费贷款</t>
        </is>
      </c>
      <c r="F2" s="131" t="n">
        <v>44230</v>
      </c>
      <c r="G2" s="657" t="n">
        <v>162000</v>
      </c>
      <c r="H2" s="657" t="n">
        <v>0</v>
      </c>
      <c r="I2" s="657" t="n">
        <v>0</v>
      </c>
      <c r="J2" s="350" t="n">
        <v>44270</v>
      </c>
      <c r="O2" s="741" t="n"/>
    </row>
    <row r="3">
      <c r="B3" s="128" t="inlineStr">
        <is>
          <t>20工元至诚7C</t>
        </is>
      </c>
      <c r="C3" s="128" t="inlineStr">
        <is>
          <t>国泰海通</t>
        </is>
      </c>
      <c r="D3" s="128" t="inlineStr">
        <is>
          <t>个人汽车贷款</t>
        </is>
      </c>
      <c r="F3" s="131" t="n">
        <v>44230</v>
      </c>
      <c r="G3" s="657" t="n">
        <v>120000</v>
      </c>
      <c r="H3" s="657" t="n">
        <v>0</v>
      </c>
      <c r="I3" s="657" t="n">
        <v>0</v>
      </c>
      <c r="J3" s="350" t="n">
        <v>44270</v>
      </c>
      <c r="O3" s="741" t="n"/>
    </row>
    <row r="4">
      <c r="B4" s="128" t="inlineStr">
        <is>
          <t>20建鑫3C</t>
        </is>
      </c>
      <c r="C4" s="128" t="inlineStr">
        <is>
          <t>国泰海通</t>
        </is>
      </c>
      <c r="D4" s="128" t="inlineStr">
        <is>
          <t>住房抵押贷款</t>
        </is>
      </c>
      <c r="F4" s="131" t="n">
        <v>44230</v>
      </c>
      <c r="G4" s="657" t="n">
        <v>2114500</v>
      </c>
      <c r="H4" s="657" t="n">
        <v>0</v>
      </c>
      <c r="I4" s="657" t="n">
        <v>0</v>
      </c>
      <c r="J4" s="350" t="n">
        <v>45776</v>
      </c>
      <c r="O4" s="741" t="n"/>
    </row>
    <row r="5">
      <c r="B5" s="128" t="inlineStr">
        <is>
          <t>21工元至诚2C</t>
        </is>
      </c>
      <c r="C5" s="128" t="inlineStr">
        <is>
          <t>国泰海通</t>
        </is>
      </c>
      <c r="D5" s="128" t="inlineStr">
        <is>
          <t>一般消费贷款</t>
        </is>
      </c>
      <c r="F5" s="131" t="n">
        <v>44270</v>
      </c>
      <c r="G5" s="657" t="n">
        <v>60000</v>
      </c>
      <c r="H5" s="657" t="n">
        <v>0</v>
      </c>
      <c r="I5" s="657" t="n">
        <v>0</v>
      </c>
      <c r="J5" s="350" t="n">
        <v>44363</v>
      </c>
      <c r="O5" s="741" t="n"/>
    </row>
    <row r="6">
      <c r="B6" s="128" t="inlineStr">
        <is>
          <t>20工元至诚4C</t>
        </is>
      </c>
      <c r="C6" s="128" t="inlineStr">
        <is>
          <t>国泰海通</t>
        </is>
      </c>
      <c r="D6" s="128" t="inlineStr">
        <is>
          <t>住房抵押贷款</t>
        </is>
      </c>
      <c r="F6" s="131" t="n">
        <v>44526</v>
      </c>
      <c r="G6" s="657" t="n">
        <v>130000</v>
      </c>
      <c r="H6" s="657" t="n">
        <v>0</v>
      </c>
      <c r="I6" s="657" t="n">
        <v>0</v>
      </c>
      <c r="J6" s="350" t="n">
        <v>44701</v>
      </c>
      <c r="O6" s="741" t="n"/>
    </row>
    <row r="7">
      <c r="B7" s="128" t="inlineStr">
        <is>
          <t>21交诚2C</t>
        </is>
      </c>
      <c r="C7" s="128" t="inlineStr">
        <is>
          <t>国泰海通</t>
        </is>
      </c>
      <c r="D7" s="128" t="inlineStr">
        <is>
          <t>企业贷款</t>
        </is>
      </c>
      <c r="F7" s="131" t="n">
        <v>44543</v>
      </c>
      <c r="G7" s="657" t="n">
        <v>230000</v>
      </c>
      <c r="H7" s="657" t="n">
        <v>0</v>
      </c>
      <c r="I7" s="657" t="n">
        <v>0</v>
      </c>
      <c r="J7" s="350" t="n">
        <v>45498</v>
      </c>
      <c r="O7" s="741" t="n"/>
    </row>
    <row r="8">
      <c r="B8" s="128" t="inlineStr">
        <is>
          <t>21中誉3C</t>
        </is>
      </c>
      <c r="C8" s="128" t="inlineStr">
        <is>
          <t>国泰海通</t>
        </is>
      </c>
      <c r="D8" s="128" t="inlineStr">
        <is>
          <t>住房抵押贷款</t>
        </is>
      </c>
      <c r="F8" s="131" t="n">
        <v>44547</v>
      </c>
      <c r="G8" s="657" t="n">
        <v>589000</v>
      </c>
      <c r="H8" s="657" t="n">
        <v>0</v>
      </c>
      <c r="I8" s="657" t="n">
        <v>0</v>
      </c>
      <c r="J8" s="350" t="n">
        <v>45475</v>
      </c>
      <c r="O8" s="741" t="n"/>
    </row>
    <row r="9">
      <c r="B9" s="128" t="inlineStr">
        <is>
          <t>21工元至诚6C</t>
        </is>
      </c>
      <c r="C9" s="128" t="inlineStr">
        <is>
          <t>国泰海通</t>
        </is>
      </c>
      <c r="D9" s="128" t="inlineStr">
        <is>
          <t>住房抵押贷款</t>
        </is>
      </c>
      <c r="F9" s="131" t="n">
        <v>44567</v>
      </c>
      <c r="G9" s="657" t="n">
        <v>500000</v>
      </c>
      <c r="H9" s="657" t="n">
        <v>0</v>
      </c>
      <c r="I9" s="657" t="n">
        <v>0</v>
      </c>
      <c r="J9" s="350" t="n">
        <v>44701</v>
      </c>
      <c r="O9" s="741" t="n"/>
    </row>
    <row r="10">
      <c r="B10" s="128" t="inlineStr">
        <is>
          <t>22建鑫4C</t>
        </is>
      </c>
      <c r="C10" s="128" t="inlineStr">
        <is>
          <t>国泰海通</t>
        </is>
      </c>
      <c r="D10" s="128" t="inlineStr">
        <is>
          <t>信用卡消费贷款</t>
        </is>
      </c>
      <c r="F10" s="131" t="n">
        <v>44741</v>
      </c>
      <c r="G10" s="657" t="n">
        <v>44700</v>
      </c>
      <c r="H10" s="657" t="n">
        <v>0</v>
      </c>
      <c r="I10" s="657" t="n">
        <v>0</v>
      </c>
      <c r="J10" s="350" t="n">
        <v>45106</v>
      </c>
      <c r="O10" s="741" t="n"/>
    </row>
    <row r="11">
      <c r="B11" s="128" t="inlineStr">
        <is>
          <t>22工元至诚2C</t>
        </is>
      </c>
      <c r="C11" s="128" t="inlineStr">
        <is>
          <t>国泰海通</t>
        </is>
      </c>
      <c r="D11" s="128" t="inlineStr">
        <is>
          <t>信用卡消费贷款</t>
        </is>
      </c>
      <c r="F11" s="131" t="n">
        <v>44882</v>
      </c>
      <c r="G11" s="657" t="n">
        <v>90000</v>
      </c>
      <c r="H11" s="657" t="n">
        <v>0</v>
      </c>
      <c r="I11" s="657" t="n">
        <v>0</v>
      </c>
      <c r="J11" s="350" t="n">
        <v>45106</v>
      </c>
      <c r="O11" s="741" t="n"/>
    </row>
    <row r="12">
      <c r="B12" s="246" t="inlineStr">
        <is>
          <t>23工元至诚1C</t>
        </is>
      </c>
      <c r="C12" s="128" t="inlineStr">
        <is>
          <t>国泰海通</t>
        </is>
      </c>
      <c r="D12" s="128" t="inlineStr">
        <is>
          <t>住房抵押贷款</t>
        </is>
      </c>
      <c r="E12" s="349" t="n">
        <v>0.05</v>
      </c>
      <c r="F12" s="131" t="n">
        <v>45008</v>
      </c>
      <c r="G12" s="657" t="n">
        <v>20000</v>
      </c>
      <c r="H12" s="657" t="n">
        <v>0</v>
      </c>
      <c r="I12" s="742" t="n">
        <v>0</v>
      </c>
      <c r="J12" s="350" t="n">
        <v>46063</v>
      </c>
      <c r="L12" s="128" t="inlineStr">
        <is>
          <t>2389064.IB</t>
        </is>
      </c>
      <c r="M12" s="743" t="n">
        <v>38.791</v>
      </c>
      <c r="O12" s="741" t="n"/>
    </row>
    <row r="13">
      <c r="B13" s="128" t="inlineStr">
        <is>
          <t>23浦鑫归航1C</t>
        </is>
      </c>
      <c r="C13" s="128" t="inlineStr">
        <is>
          <t>国泰海通</t>
        </is>
      </c>
      <c r="D13" s="128" t="inlineStr">
        <is>
          <t>信用卡消费贷款</t>
        </is>
      </c>
      <c r="F13" s="131" t="n">
        <v>45015</v>
      </c>
      <c r="G13" s="657" t="n">
        <v>120000</v>
      </c>
      <c r="H13" s="657" t="n">
        <v>0</v>
      </c>
      <c r="I13" s="657" t="n">
        <v>0</v>
      </c>
      <c r="J13" s="350" t="n">
        <v>45159</v>
      </c>
      <c r="L13" s="128" t="inlineStr">
        <is>
          <t>2389076.IB</t>
        </is>
      </c>
      <c r="M13" s="743" t="n"/>
      <c r="O13" s="741" t="n"/>
    </row>
    <row r="14">
      <c r="B14" s="128" t="inlineStr">
        <is>
          <t>23中誉1C</t>
        </is>
      </c>
      <c r="C14" s="128" t="inlineStr">
        <is>
          <t>国泰海通</t>
        </is>
      </c>
      <c r="D14" s="128" t="inlineStr">
        <is>
          <t>住房抵押贷款</t>
        </is>
      </c>
      <c r="E14" s="349" t="n">
        <v>0.05</v>
      </c>
      <c r="F14" s="131" t="n">
        <v>45023</v>
      </c>
      <c r="G14" s="657" t="n">
        <v>89875</v>
      </c>
      <c r="H14" s="657" t="n">
        <v>75</v>
      </c>
      <c r="I14" s="657" t="n">
        <v>0</v>
      </c>
      <c r="J14" s="350" t="n"/>
      <c r="K14" s="128" t="inlineStr">
        <is>
          <t>量太小，不考虑买回了</t>
        </is>
      </c>
      <c r="L14" s="128" t="inlineStr">
        <is>
          <t>2389087.IB</t>
        </is>
      </c>
      <c r="M14" s="743" t="n">
        <v>39.25</v>
      </c>
      <c r="N14" s="128" t="inlineStr">
        <is>
          <t>2026-08-26</t>
        </is>
      </c>
      <c r="O14" s="741" t="n"/>
    </row>
    <row r="15">
      <c r="B15" s="128" t="inlineStr">
        <is>
          <t>23中誉2C</t>
        </is>
      </c>
      <c r="C15" s="128" t="inlineStr">
        <is>
          <t>国泰海通</t>
        </is>
      </c>
      <c r="D15" s="128" t="inlineStr">
        <is>
          <t>住房抵押贷款</t>
        </is>
      </c>
      <c r="E15" s="349" t="n">
        <v>0.05</v>
      </c>
      <c r="F15" s="131" t="n">
        <v>45027</v>
      </c>
      <c r="G15" s="657" t="n">
        <v>107100</v>
      </c>
      <c r="H15" s="657" t="n">
        <v>0</v>
      </c>
      <c r="I15" s="744" t="n">
        <v>0</v>
      </c>
      <c r="J15" s="350" t="n">
        <v>46121</v>
      </c>
      <c r="L15" s="128" t="inlineStr">
        <is>
          <t>2389095.IB</t>
        </is>
      </c>
      <c r="M15" s="743" t="n">
        <v>48.19</v>
      </c>
      <c r="N15" s="128" t="inlineStr">
        <is>
          <t>2026-08-26</t>
        </is>
      </c>
      <c r="O15" s="741" t="n"/>
    </row>
    <row r="16">
      <c r="B16" s="128" t="inlineStr">
        <is>
          <t>23中誉3C</t>
        </is>
      </c>
      <c r="C16" s="128" t="inlineStr">
        <is>
          <t>国泰海通</t>
        </is>
      </c>
      <c r="D16" s="128" t="inlineStr">
        <is>
          <t>个人汽车贷款</t>
        </is>
      </c>
      <c r="F16" s="131" t="n">
        <v>45036</v>
      </c>
      <c r="G16" s="657" t="n">
        <v>17700</v>
      </c>
      <c r="H16" s="657" t="n">
        <v>0</v>
      </c>
      <c r="I16" s="657" t="n">
        <v>0</v>
      </c>
      <c r="J16" s="350" t="n">
        <v>45273</v>
      </c>
      <c r="L16" s="128" t="inlineStr">
        <is>
          <t>2389105.IB</t>
        </is>
      </c>
      <c r="M16" s="743" t="n"/>
      <c r="O16" s="741" t="n"/>
    </row>
    <row r="17">
      <c r="B17" s="128" t="inlineStr">
        <is>
          <t>23工元至诚2C</t>
        </is>
      </c>
      <c r="C17" s="128" t="inlineStr">
        <is>
          <t>国泰海通</t>
        </is>
      </c>
      <c r="D17" s="128" t="inlineStr">
        <is>
          <t>信用卡消费贷款</t>
        </is>
      </c>
      <c r="F17" s="131" t="n">
        <v>45077</v>
      </c>
      <c r="G17" s="657" t="n">
        <v>190000</v>
      </c>
      <c r="H17" s="657" t="n">
        <v>0</v>
      </c>
      <c r="I17" s="657" t="n">
        <v>0</v>
      </c>
      <c r="J17" s="350" t="n">
        <v>45449</v>
      </c>
      <c r="L17" s="128" t="inlineStr">
        <is>
          <t>2389132.IB</t>
        </is>
      </c>
      <c r="M17" s="743" t="n"/>
      <c r="O17" s="741" t="n"/>
    </row>
    <row r="18">
      <c r="B18" s="128" t="inlineStr">
        <is>
          <t>23浦鑫归航2C</t>
        </is>
      </c>
      <c r="C18" s="128" t="inlineStr">
        <is>
          <t>国泰海通</t>
        </is>
      </c>
      <c r="D18" s="128" t="inlineStr">
        <is>
          <t>信用卡消费贷款</t>
        </is>
      </c>
      <c r="F18" s="131" t="n">
        <v>45106</v>
      </c>
      <c r="G18" s="657" t="n">
        <v>54000</v>
      </c>
      <c r="H18" s="657" t="n">
        <v>0</v>
      </c>
      <c r="I18" s="657" t="n">
        <v>0</v>
      </c>
      <c r="J18" s="350" t="n">
        <v>45273</v>
      </c>
      <c r="L18" s="128" t="inlineStr">
        <is>
          <t>2389216.IB</t>
        </is>
      </c>
      <c r="M18" s="743" t="n"/>
      <c r="O18" s="741" t="n"/>
    </row>
    <row r="19">
      <c r="B19" s="128" t="inlineStr">
        <is>
          <t>23中誉至诚1C</t>
        </is>
      </c>
      <c r="C19" s="128" t="inlineStr">
        <is>
          <t>国泰海通</t>
        </is>
      </c>
      <c r="D19" s="128" t="inlineStr">
        <is>
          <t>一般消费贷款</t>
        </is>
      </c>
      <c r="F19" s="131" t="n">
        <v>45106</v>
      </c>
      <c r="G19" s="657" t="n">
        <v>24100</v>
      </c>
      <c r="H19" s="657" t="n">
        <v>0</v>
      </c>
      <c r="I19" s="657" t="n">
        <v>0</v>
      </c>
      <c r="J19" s="350" t="n">
        <v>45324</v>
      </c>
      <c r="L19" s="128" t="inlineStr">
        <is>
          <t>2389200.IB</t>
        </is>
      </c>
      <c r="M19" s="743" t="n"/>
      <c r="O19" s="741" t="n"/>
    </row>
    <row r="20">
      <c r="B20" s="128" t="inlineStr">
        <is>
          <t>23建鑫5C</t>
        </is>
      </c>
      <c r="C20" s="128" t="inlineStr">
        <is>
          <t>国泰海通</t>
        </is>
      </c>
      <c r="D20" s="128" t="inlineStr">
        <is>
          <t>信用卡消费贷款</t>
        </is>
      </c>
      <c r="F20" s="131" t="n">
        <v>45113</v>
      </c>
      <c r="G20" s="657" t="n">
        <v>45100</v>
      </c>
      <c r="H20" s="657" t="n">
        <v>0</v>
      </c>
      <c r="I20" s="657" t="n">
        <v>0</v>
      </c>
      <c r="J20" s="350" t="n">
        <v>45384</v>
      </c>
      <c r="L20" s="128" t="inlineStr">
        <is>
          <t>2389222.IB</t>
        </is>
      </c>
      <c r="M20" s="743" t="n"/>
      <c r="O20" s="741" t="n"/>
    </row>
    <row r="21">
      <c r="B21" s="128" t="inlineStr">
        <is>
          <t>23建鑫2C</t>
        </is>
      </c>
      <c r="C21" s="128" t="inlineStr">
        <is>
          <t>国泰海通</t>
        </is>
      </c>
      <c r="D21" s="128" t="inlineStr">
        <is>
          <t>微小企业贷款</t>
        </is>
      </c>
      <c r="F21" s="131" t="n">
        <v>45127</v>
      </c>
      <c r="G21" s="657" t="n">
        <v>50000</v>
      </c>
      <c r="H21" s="657" t="n">
        <v>0</v>
      </c>
      <c r="I21" s="657" t="n">
        <v>0</v>
      </c>
      <c r="J21" s="350" t="n">
        <v>45218</v>
      </c>
      <c r="L21" s="128" t="inlineStr">
        <is>
          <t>2389111.IB</t>
        </is>
      </c>
      <c r="M21" s="743" t="n"/>
      <c r="O21" s="741" t="n"/>
    </row>
    <row r="22">
      <c r="B22" s="128" t="inlineStr">
        <is>
          <t>23邮盈惠泽4C</t>
        </is>
      </c>
      <c r="C22" s="128" t="inlineStr">
        <is>
          <t>国泰海通</t>
        </is>
      </c>
      <c r="D22" s="128" t="inlineStr">
        <is>
          <t>信用卡消费贷款</t>
        </is>
      </c>
      <c r="F22" s="131" t="n">
        <v>45188</v>
      </c>
      <c r="G22" s="657" t="n">
        <v>64000</v>
      </c>
      <c r="H22" s="657" t="n">
        <v>0</v>
      </c>
      <c r="I22" s="657" t="n">
        <v>0</v>
      </c>
      <c r="J22" s="350" t="n">
        <v>45449</v>
      </c>
      <c r="L22" s="128" t="inlineStr">
        <is>
          <t>2389323.IB</t>
        </is>
      </c>
      <c r="M22" s="743" t="n"/>
      <c r="O22" s="741" t="n"/>
    </row>
    <row r="23">
      <c r="B23" s="128" t="inlineStr">
        <is>
          <t>23邮盈惠泽5C</t>
        </is>
      </c>
      <c r="C23" s="128" t="inlineStr">
        <is>
          <t>国泰海通</t>
        </is>
      </c>
      <c r="D23" s="128" t="inlineStr">
        <is>
          <t>微小企业贷款</t>
        </is>
      </c>
      <c r="F23" s="131" t="n">
        <v>45188</v>
      </c>
      <c r="G23" s="657" t="n">
        <v>11500</v>
      </c>
      <c r="H23" s="657" t="n">
        <v>0</v>
      </c>
      <c r="I23" s="657" t="n">
        <v>0</v>
      </c>
      <c r="J23" s="350" t="n">
        <v>45449</v>
      </c>
      <c r="L23" s="128" t="inlineStr">
        <is>
          <t>2389325.IB</t>
        </is>
      </c>
      <c r="M23" s="743" t="n"/>
      <c r="O23" s="741" t="n"/>
    </row>
    <row r="24">
      <c r="B24" s="128" t="inlineStr">
        <is>
          <t>23建鑫8C</t>
        </is>
      </c>
      <c r="C24" s="128" t="inlineStr">
        <is>
          <t>国泰海通</t>
        </is>
      </c>
      <c r="D24" s="128" t="inlineStr">
        <is>
          <t>信用卡消费贷款</t>
        </is>
      </c>
      <c r="F24" s="131" t="n">
        <v>45190</v>
      </c>
      <c r="G24" s="657" t="n">
        <v>7400</v>
      </c>
      <c r="H24" s="657" t="n">
        <v>0</v>
      </c>
      <c r="I24" s="657" t="n">
        <v>0</v>
      </c>
      <c r="J24" s="350" t="n">
        <v>45954</v>
      </c>
      <c r="L24" s="128" t="inlineStr">
        <is>
          <t>2389347.IB</t>
        </is>
      </c>
      <c r="M24" s="743" t="n"/>
      <c r="O24" s="741" t="n"/>
    </row>
    <row r="25">
      <c r="B25" s="128" t="inlineStr">
        <is>
          <t>23兴瑞4C</t>
        </is>
      </c>
      <c r="C25" s="128" t="inlineStr">
        <is>
          <t>国泰海通</t>
        </is>
      </c>
      <c r="D25" s="128" t="inlineStr">
        <is>
          <t>信用卡消费贷款</t>
        </is>
      </c>
      <c r="F25" s="131" t="n">
        <v>45190</v>
      </c>
      <c r="G25" s="657" t="n">
        <v>95000</v>
      </c>
      <c r="H25" s="657" t="n">
        <v>0</v>
      </c>
      <c r="I25" s="657" t="n">
        <v>7.566995918750763e-14</v>
      </c>
      <c r="J25" s="350" t="n">
        <v>45449</v>
      </c>
      <c r="L25" s="128" t="inlineStr">
        <is>
          <t>2389341.IB</t>
        </is>
      </c>
      <c r="M25" s="743" t="n"/>
      <c r="O25" s="741" t="n"/>
    </row>
    <row r="26">
      <c r="B26" s="128" t="inlineStr">
        <is>
          <t>23浦鑫归航4C</t>
        </is>
      </c>
      <c r="C26" s="128" t="inlineStr">
        <is>
          <t>国泰海通</t>
        </is>
      </c>
      <c r="D26" s="128" t="inlineStr">
        <is>
          <t>信用卡消费贷款</t>
        </is>
      </c>
      <c r="F26" s="131" t="n">
        <v>45196</v>
      </c>
      <c r="G26" s="657" t="n">
        <v>190000</v>
      </c>
      <c r="H26" s="657" t="n">
        <v>0</v>
      </c>
      <c r="I26" s="657" t="n">
        <v>0</v>
      </c>
      <c r="J26" s="350" t="n">
        <v>45404</v>
      </c>
      <c r="L26" s="128" t="inlineStr">
        <is>
          <t>2389353.IB</t>
        </is>
      </c>
      <c r="M26" s="743" t="n"/>
      <c r="O26" s="741" t="n"/>
    </row>
    <row r="27">
      <c r="B27" s="128" t="inlineStr">
        <is>
          <t>23工元至诚7C</t>
        </is>
      </c>
      <c r="C27" s="128" t="inlineStr">
        <is>
          <t>国泰海通</t>
        </is>
      </c>
      <c r="D27" s="128" t="inlineStr">
        <is>
          <t>信用卡消费贷款</t>
        </is>
      </c>
      <c r="F27" s="131" t="n">
        <v>45254</v>
      </c>
      <c r="G27" s="657" t="n">
        <v>440000</v>
      </c>
      <c r="H27" s="657" t="n">
        <v>0</v>
      </c>
      <c r="I27" s="657" t="n">
        <v>0</v>
      </c>
      <c r="J27" s="350" t="n">
        <v>45656</v>
      </c>
      <c r="L27" s="128" t="inlineStr">
        <is>
          <t>2389426.IB</t>
        </is>
      </c>
      <c r="M27" s="743" t="n"/>
      <c r="O27" s="741" t="n"/>
    </row>
    <row r="28">
      <c r="B28" s="128" t="inlineStr">
        <is>
          <t>23中誉至诚3C</t>
        </is>
      </c>
      <c r="C28" s="128" t="inlineStr">
        <is>
          <t>国泰海通</t>
        </is>
      </c>
      <c r="D28" s="128" t="inlineStr">
        <is>
          <t>信用卡消费贷款</t>
        </is>
      </c>
      <c r="F28" s="131" t="n">
        <v>45260</v>
      </c>
      <c r="G28" s="657" t="n">
        <v>12300</v>
      </c>
      <c r="H28" s="657" t="n">
        <v>0</v>
      </c>
      <c r="I28" s="657" t="n">
        <v>0</v>
      </c>
      <c r="J28" s="350" t="n">
        <v>45449</v>
      </c>
      <c r="L28" s="128" t="inlineStr">
        <is>
          <t>2389428.IB</t>
        </is>
      </c>
      <c r="M28" s="743" t="n"/>
      <c r="O28" s="741" t="n"/>
    </row>
    <row r="29">
      <c r="B29" s="128" t="inlineStr">
        <is>
          <t>23中誉至诚4C</t>
        </is>
      </c>
      <c r="C29" s="128" t="inlineStr">
        <is>
          <t>国泰海通</t>
        </is>
      </c>
      <c r="D29" s="128" t="inlineStr">
        <is>
          <t>一般消费贷款</t>
        </is>
      </c>
      <c r="F29" s="131" t="n">
        <v>45267</v>
      </c>
      <c r="G29" s="657" t="n">
        <v>13600</v>
      </c>
      <c r="H29" s="657" t="n">
        <v>0</v>
      </c>
      <c r="I29" s="657" t="n">
        <v>0</v>
      </c>
      <c r="J29" s="350" t="n">
        <v>45449</v>
      </c>
      <c r="L29" s="128" t="inlineStr">
        <is>
          <t>2389432.IB</t>
        </is>
      </c>
      <c r="M29" s="743" t="n"/>
      <c r="O29" s="741" t="n"/>
    </row>
    <row r="30">
      <c r="B30" s="128" t="inlineStr">
        <is>
          <t>23浦鑫归航5C</t>
        </is>
      </c>
      <c r="C30" s="128" t="inlineStr">
        <is>
          <t>国泰海通</t>
        </is>
      </c>
      <c r="D30" s="128" t="inlineStr">
        <is>
          <t>住房抵押贷款</t>
        </is>
      </c>
      <c r="F30" s="131" t="n">
        <v>45274</v>
      </c>
      <c r="G30" s="657" t="n">
        <v>20000</v>
      </c>
      <c r="H30" s="657" t="n">
        <v>0</v>
      </c>
      <c r="I30" s="657" t="n">
        <v>0</v>
      </c>
      <c r="J30" s="350" t="n">
        <v>46013</v>
      </c>
      <c r="L30" s="128" t="inlineStr">
        <is>
          <t>2389441.IB</t>
        </is>
      </c>
      <c r="M30" s="743" t="n">
        <v>100</v>
      </c>
      <c r="O30" s="741" t="n"/>
    </row>
    <row r="31">
      <c r="B31" s="128" t="inlineStr">
        <is>
          <t>23中誉至诚5C</t>
        </is>
      </c>
      <c r="C31" s="128" t="inlineStr">
        <is>
          <t>国泰海通</t>
        </is>
      </c>
      <c r="D31" s="128" t="inlineStr">
        <is>
          <t>住房抵押贷款</t>
        </is>
      </c>
      <c r="E31" s="349" t="n">
        <v>0.05</v>
      </c>
      <c r="F31" s="131" t="n">
        <v>45274</v>
      </c>
      <c r="G31" s="657" t="n">
        <v>84100</v>
      </c>
      <c r="H31" s="657" t="n">
        <v>0</v>
      </c>
      <c r="I31" s="745" t="n">
        <v>0</v>
      </c>
      <c r="J31" s="350" t="n">
        <v>46141</v>
      </c>
      <c r="L31" s="128" t="inlineStr">
        <is>
          <t>2389446.IB</t>
        </is>
      </c>
      <c r="M31" s="743" t="n">
        <v>100</v>
      </c>
      <c r="N31" s="128" t="inlineStr">
        <is>
          <t>2026-08-26</t>
        </is>
      </c>
      <c r="O31" s="741" t="n"/>
    </row>
    <row r="32">
      <c r="B32" s="128" t="inlineStr">
        <is>
          <t>23邮盈惠泽8C</t>
        </is>
      </c>
      <c r="C32" s="128" t="inlineStr">
        <is>
          <t>国泰海通</t>
        </is>
      </c>
      <c r="D32" s="128" t="inlineStr">
        <is>
          <t>信用卡消费贷款</t>
        </is>
      </c>
      <c r="F32" s="131" t="n">
        <v>45279</v>
      </c>
      <c r="G32" s="657" t="n">
        <v>32500</v>
      </c>
      <c r="H32" s="657" t="n">
        <v>0</v>
      </c>
      <c r="I32" s="657" t="n">
        <v>0</v>
      </c>
      <c r="J32" s="350" t="n">
        <v>45475</v>
      </c>
      <c r="L32" s="128" t="inlineStr">
        <is>
          <t>2389456.IB</t>
        </is>
      </c>
      <c r="M32" s="743" t="n"/>
      <c r="O32" s="741" t="n"/>
    </row>
    <row r="33">
      <c r="B33" s="128" t="inlineStr">
        <is>
          <t>23建鑫12C</t>
        </is>
      </c>
      <c r="C33" s="128" t="inlineStr">
        <is>
          <t>国泰海通</t>
        </is>
      </c>
      <c r="D33" s="128" t="inlineStr">
        <is>
          <t>信用卡消费贷款</t>
        </is>
      </c>
      <c r="F33" s="131" t="n">
        <v>45281</v>
      </c>
      <c r="G33" s="657" t="n">
        <v>4800</v>
      </c>
      <c r="H33" s="657" t="n">
        <v>0</v>
      </c>
      <c r="I33" s="657" t="n">
        <v>0</v>
      </c>
      <c r="J33" s="350" t="n">
        <v>45744</v>
      </c>
      <c r="L33" s="128" t="inlineStr">
        <is>
          <t>2389474.IB</t>
        </is>
      </c>
      <c r="M33" s="743" t="n">
        <v>38</v>
      </c>
      <c r="O33" s="741" t="n"/>
    </row>
    <row r="34">
      <c r="B34" s="128" t="inlineStr">
        <is>
          <t>23浦鑫归航6C</t>
        </is>
      </c>
      <c r="C34" s="128" t="inlineStr">
        <is>
          <t>国泰海通</t>
        </is>
      </c>
      <c r="D34" s="128" t="inlineStr">
        <is>
          <t>信用卡消费贷款</t>
        </is>
      </c>
      <c r="F34" s="131" t="n">
        <v>45281</v>
      </c>
      <c r="G34" s="657" t="n">
        <v>171500</v>
      </c>
      <c r="H34" s="657" t="n">
        <v>0</v>
      </c>
      <c r="I34" s="657" t="n">
        <v>0</v>
      </c>
      <c r="J34" s="350" t="n">
        <v>45506</v>
      </c>
      <c r="L34" s="128" t="inlineStr">
        <is>
          <t>2389470.IB</t>
        </is>
      </c>
      <c r="M34" s="743" t="n"/>
      <c r="O34" s="741" t="n"/>
    </row>
    <row r="35">
      <c r="B35" s="128" t="inlineStr">
        <is>
          <t>23工元至诚8C</t>
        </is>
      </c>
      <c r="C35" s="128" t="inlineStr">
        <is>
          <t>国泰海通</t>
        </is>
      </c>
      <c r="D35" s="128" t="inlineStr">
        <is>
          <t>住房抵押贷款</t>
        </is>
      </c>
      <c r="E35" s="349" t="n">
        <v>0.05</v>
      </c>
      <c r="F35" s="131" t="n">
        <v>45288</v>
      </c>
      <c r="G35" s="657" t="n">
        <v>500000</v>
      </c>
      <c r="H35" s="657">
        <f>370000-140000</f>
        <v/>
      </c>
      <c r="I35" s="745" t="n">
        <v>2369.62</v>
      </c>
      <c r="J35" s="499" t="n">
        <v>46141</v>
      </c>
      <c r="L35" s="128" t="inlineStr">
        <is>
          <t>2389487.IB</t>
        </is>
      </c>
      <c r="M35" s="743" t="n">
        <v>100</v>
      </c>
      <c r="N35" s="128" t="inlineStr">
        <is>
          <t>2026-07-26</t>
        </is>
      </c>
      <c r="O35" s="741" t="n"/>
    </row>
    <row r="36">
      <c r="B36" s="128" t="inlineStr">
        <is>
          <t>24浦鑫归航1C</t>
        </is>
      </c>
      <c r="C36" s="128" t="inlineStr">
        <is>
          <t>国泰海通</t>
        </is>
      </c>
      <c r="D36" s="128" t="inlineStr">
        <is>
          <t>信用卡消费贷款</t>
        </is>
      </c>
      <c r="F36" s="131" t="n">
        <v>45378</v>
      </c>
      <c r="G36" s="657" t="n">
        <v>340000</v>
      </c>
      <c r="H36" s="657" t="n">
        <v>0</v>
      </c>
      <c r="I36" s="657" t="n">
        <v>0</v>
      </c>
      <c r="J36" s="350" t="n">
        <v>45656</v>
      </c>
      <c r="L36" s="128" t="inlineStr">
        <is>
          <t>2489074.IB</t>
        </is>
      </c>
      <c r="M36" s="743" t="n"/>
      <c r="O36" s="741" t="n"/>
    </row>
    <row r="37">
      <c r="B37" s="128" t="inlineStr">
        <is>
          <t>24兴瑞1C</t>
        </is>
      </c>
      <c r="C37" s="128" t="inlineStr">
        <is>
          <t>国泰海通</t>
        </is>
      </c>
      <c r="D37" s="128" t="inlineStr">
        <is>
          <t>信用卡消费贷款</t>
        </is>
      </c>
      <c r="F37" s="131" t="n">
        <v>45378</v>
      </c>
      <c r="G37" s="657" t="n">
        <v>56000</v>
      </c>
      <c r="H37" s="657" t="n">
        <v>0</v>
      </c>
      <c r="I37" s="657" t="n">
        <v>0</v>
      </c>
      <c r="J37" s="350" t="n">
        <v>45506</v>
      </c>
      <c r="L37" s="128" t="inlineStr">
        <is>
          <t>2489050.IB</t>
        </is>
      </c>
      <c r="M37" s="743" t="n"/>
      <c r="O37" s="741" t="n"/>
    </row>
    <row r="38">
      <c r="B38" s="128" t="inlineStr">
        <is>
          <t>24中誉至诚1C</t>
        </is>
      </c>
      <c r="C38" s="128" t="inlineStr">
        <is>
          <t>国泰海通</t>
        </is>
      </c>
      <c r="D38" s="128" t="inlineStr">
        <is>
          <t>信用卡消费贷款</t>
        </is>
      </c>
      <c r="F38" s="131" t="n">
        <v>45379</v>
      </c>
      <c r="G38" s="657" t="n">
        <v>11500</v>
      </c>
      <c r="H38" s="657" t="n">
        <v>0</v>
      </c>
      <c r="I38" s="657" t="n">
        <v>0</v>
      </c>
      <c r="J38" s="350" t="n">
        <v>45649</v>
      </c>
      <c r="L38" s="128" t="inlineStr">
        <is>
          <t>2489044.IB</t>
        </is>
      </c>
      <c r="M38" s="743" t="n"/>
      <c r="O38" s="741" t="n"/>
    </row>
    <row r="39">
      <c r="B39" s="128" t="inlineStr">
        <is>
          <t>21中誉4C</t>
        </is>
      </c>
      <c r="C39" s="128" t="inlineStr">
        <is>
          <t>国泰海通</t>
        </is>
      </c>
      <c r="D39" s="128" t="inlineStr">
        <is>
          <t>住房抵押贷款</t>
        </is>
      </c>
      <c r="F39" s="131" t="n">
        <v>45404</v>
      </c>
      <c r="G39" s="657" t="n">
        <v>127000</v>
      </c>
      <c r="H39" s="657" t="n">
        <v>0</v>
      </c>
      <c r="I39" s="657" t="n">
        <v>0</v>
      </c>
      <c r="J39" s="350" t="n">
        <v>45698</v>
      </c>
      <c r="L39" s="128" t="inlineStr">
        <is>
          <t>2189555.IB</t>
        </is>
      </c>
      <c r="M39" s="743" t="n">
        <v>13.42</v>
      </c>
      <c r="O39" s="741" t="n"/>
    </row>
    <row r="40">
      <c r="B40" s="128" t="inlineStr">
        <is>
          <t>21建鑫7C</t>
        </is>
      </c>
      <c r="C40" s="128" t="inlineStr">
        <is>
          <t>国泰海通</t>
        </is>
      </c>
      <c r="D40" s="128" t="inlineStr">
        <is>
          <t>住房抵押贷款</t>
        </is>
      </c>
      <c r="F40" s="131" t="n">
        <v>45436</v>
      </c>
      <c r="G40" s="657" t="n">
        <v>20000</v>
      </c>
      <c r="H40" s="657" t="n">
        <v>0</v>
      </c>
      <c r="I40" s="657" t="n">
        <v>0</v>
      </c>
      <c r="J40" s="350" t="n">
        <v>45869</v>
      </c>
      <c r="L40" s="128" t="inlineStr">
        <is>
          <t>2189410.IB</t>
        </is>
      </c>
      <c r="M40" s="743" t="n">
        <v>100</v>
      </c>
      <c r="O40" s="741" t="n"/>
    </row>
    <row r="41">
      <c r="B41" s="128" t="inlineStr">
        <is>
          <t>24建欣4C</t>
        </is>
      </c>
      <c r="C41" s="128" t="inlineStr">
        <is>
          <t>国泰海通</t>
        </is>
      </c>
      <c r="D41" s="128" t="inlineStr">
        <is>
          <t>微小企业贷款</t>
        </is>
      </c>
      <c r="F41" s="131" t="n">
        <v>45436</v>
      </c>
      <c r="G41" s="657" t="n">
        <v>118200</v>
      </c>
      <c r="H41" s="657" t="n">
        <v>0</v>
      </c>
      <c r="I41" s="657" t="n">
        <v>0</v>
      </c>
      <c r="J41" s="350" t="n">
        <v>45596</v>
      </c>
      <c r="L41" s="128" t="inlineStr">
        <is>
          <t>2489090.IB</t>
        </is>
      </c>
      <c r="M41" s="743" t="n"/>
      <c r="O41" s="741" t="n"/>
    </row>
    <row r="42">
      <c r="B42" s="128" t="inlineStr">
        <is>
          <t>24工元至诚1C</t>
        </is>
      </c>
      <c r="C42" s="128" t="inlineStr">
        <is>
          <t>国泰海通</t>
        </is>
      </c>
      <c r="D42" s="128" t="inlineStr">
        <is>
          <t>信用卡消费贷款</t>
        </is>
      </c>
      <c r="F42" s="131" t="n">
        <v>45447</v>
      </c>
      <c r="G42" s="657" t="n">
        <v>120000</v>
      </c>
      <c r="H42" s="657" t="n">
        <v>0</v>
      </c>
      <c r="I42" s="657" t="n">
        <v>0</v>
      </c>
      <c r="J42" s="350" t="n">
        <v>45869</v>
      </c>
      <c r="L42" s="128" t="inlineStr">
        <is>
          <t>2489134.IB</t>
        </is>
      </c>
      <c r="M42" s="743" t="n">
        <v>54.92</v>
      </c>
      <c r="O42" s="741" t="n"/>
    </row>
    <row r="43">
      <c r="B43" s="128" t="inlineStr">
        <is>
          <t>24惠元3C</t>
        </is>
      </c>
      <c r="C43" s="128" t="inlineStr">
        <is>
          <t>国泰海通</t>
        </is>
      </c>
      <c r="D43" s="128" t="inlineStr">
        <is>
          <t>信用卡消费贷款</t>
        </is>
      </c>
      <c r="F43" s="131" t="n">
        <v>45463</v>
      </c>
      <c r="G43" s="657" t="n">
        <v>85200</v>
      </c>
      <c r="H43" s="657" t="n">
        <v>0</v>
      </c>
      <c r="I43" s="657" t="n">
        <v>0</v>
      </c>
      <c r="J43" s="350" t="n">
        <v>45492</v>
      </c>
      <c r="L43" s="128" t="inlineStr">
        <is>
          <t>2489147.IB</t>
        </is>
      </c>
      <c r="M43" s="743" t="n">
        <v>97.01000000000001</v>
      </c>
      <c r="O43" s="741" t="n"/>
    </row>
    <row r="44">
      <c r="B44" s="128" t="inlineStr">
        <is>
          <t>24惠元3优先</t>
        </is>
      </c>
      <c r="C44" s="128" t="inlineStr">
        <is>
          <t>国泰海通</t>
        </is>
      </c>
      <c r="D44" s="128" t="inlineStr">
        <is>
          <t>信用卡消费贷款</t>
        </is>
      </c>
      <c r="F44" s="131" t="n">
        <v>45463</v>
      </c>
      <c r="G44" s="657" t="n">
        <v>164600</v>
      </c>
      <c r="H44" s="657" t="n">
        <v>0</v>
      </c>
      <c r="I44" s="657" t="n">
        <v>0</v>
      </c>
      <c r="J44" s="350" t="n">
        <v>45468</v>
      </c>
      <c r="K44" s="128" t="inlineStr">
        <is>
          <t>已摘牌</t>
        </is>
      </c>
      <c r="L44" s="128" t="inlineStr">
        <is>
          <t>2489146.IB</t>
        </is>
      </c>
      <c r="M44" s="743" t="n"/>
      <c r="O44" s="741" t="n"/>
    </row>
    <row r="45">
      <c r="B45" s="128" t="inlineStr">
        <is>
          <t>24浦鑫归航2C</t>
        </is>
      </c>
      <c r="C45" s="128" t="inlineStr">
        <is>
          <t>国泰海通</t>
        </is>
      </c>
      <c r="D45" s="128" t="inlineStr">
        <is>
          <t>信用卡消费贷款</t>
        </is>
      </c>
      <c r="F45" s="131" t="n">
        <v>45468</v>
      </c>
      <c r="G45" s="657" t="n">
        <v>218000</v>
      </c>
      <c r="H45" s="657" t="n">
        <v>0</v>
      </c>
      <c r="I45" s="657" t="n">
        <v>0</v>
      </c>
      <c r="J45" s="350" t="n">
        <v>45905</v>
      </c>
      <c r="L45" s="128" t="inlineStr">
        <is>
          <t>2489192.IB</t>
        </is>
      </c>
      <c r="M45" s="743" t="n"/>
      <c r="O45" s="741" t="n"/>
    </row>
    <row r="46">
      <c r="B46" s="128" t="inlineStr">
        <is>
          <t>24浦鑫归航2优先</t>
        </is>
      </c>
      <c r="C46" s="128" t="inlineStr">
        <is>
          <t>国泰海通</t>
        </is>
      </c>
      <c r="D46" s="128" t="inlineStr">
        <is>
          <t>信用卡消费贷款</t>
        </is>
      </c>
      <c r="F46" s="131" t="n">
        <v>45469</v>
      </c>
      <c r="G46" s="657" t="n">
        <v>300000</v>
      </c>
      <c r="H46" s="657" t="n">
        <v>0</v>
      </c>
      <c r="I46" s="657" t="n">
        <v>0</v>
      </c>
      <c r="J46" s="350" t="n">
        <v>45475</v>
      </c>
      <c r="L46" s="128" t="inlineStr">
        <is>
          <t>2489191.IB</t>
        </is>
      </c>
      <c r="M46" s="743" t="n"/>
      <c r="O46" s="741" t="n"/>
    </row>
    <row r="47">
      <c r="B47" s="128" t="inlineStr">
        <is>
          <t>24建欣6C</t>
        </is>
      </c>
      <c r="C47" s="128" t="inlineStr">
        <is>
          <t>国泰海通</t>
        </is>
      </c>
      <c r="D47" s="128" t="inlineStr">
        <is>
          <t>信用卡消费贷款</t>
        </is>
      </c>
      <c r="E47" s="349" t="n">
        <v>0.05</v>
      </c>
      <c r="F47" s="131" t="n">
        <v>45470</v>
      </c>
      <c r="G47" s="657" t="n">
        <v>7600</v>
      </c>
      <c r="H47" s="657" t="n">
        <v>0</v>
      </c>
      <c r="I47" s="657" t="n">
        <v>0</v>
      </c>
      <c r="J47" s="350" t="n">
        <v>46052</v>
      </c>
      <c r="L47" s="128" t="inlineStr">
        <is>
          <t>2489200.IB</t>
        </is>
      </c>
      <c r="M47" s="743" t="n">
        <v>93.06999999999999</v>
      </c>
      <c r="O47" s="741" t="n"/>
    </row>
    <row r="48">
      <c r="B48" s="128" t="inlineStr">
        <is>
          <t>24中誉至诚2C</t>
        </is>
      </c>
      <c r="C48" s="128" t="inlineStr">
        <is>
          <t>国泰海通</t>
        </is>
      </c>
      <c r="D48" s="128" t="inlineStr">
        <is>
          <t>一般消费贷款</t>
        </is>
      </c>
      <c r="F48" s="131" t="n">
        <v>45470</v>
      </c>
      <c r="G48" s="657" t="n">
        <v>19400</v>
      </c>
      <c r="H48" s="657" t="n">
        <v>0</v>
      </c>
      <c r="I48" s="657" t="n">
        <v>0</v>
      </c>
      <c r="J48" s="350" t="n">
        <v>45526</v>
      </c>
      <c r="L48" s="128" t="inlineStr">
        <is>
          <t>2489162.IB</t>
        </is>
      </c>
      <c r="M48" s="743" t="n">
        <v>3.83</v>
      </c>
      <c r="O48" s="741" t="n"/>
    </row>
    <row r="49">
      <c r="B49" s="128" t="inlineStr">
        <is>
          <t>24中誉至诚2优先</t>
        </is>
      </c>
      <c r="C49" s="128" t="inlineStr">
        <is>
          <t>国泰海通</t>
        </is>
      </c>
      <c r="D49" s="128" t="inlineStr">
        <is>
          <t>一般消费贷款</t>
        </is>
      </c>
      <c r="F49" s="131" t="n">
        <v>45470</v>
      </c>
      <c r="G49" s="657" t="n">
        <v>132500</v>
      </c>
      <c r="H49" s="657" t="n">
        <v>0</v>
      </c>
      <c r="I49" s="657" t="n">
        <v>0</v>
      </c>
      <c r="J49" s="350" t="n">
        <v>45476</v>
      </c>
      <c r="L49" s="128" t="inlineStr">
        <is>
          <t>2489161.IB</t>
        </is>
      </c>
      <c r="M49" s="743" t="n"/>
      <c r="O49" s="741" t="n"/>
    </row>
    <row r="50" customFormat="1" s="178">
      <c r="B50" s="178" t="inlineStr">
        <is>
          <t>24臻粹3C</t>
        </is>
      </c>
      <c r="C50" s="178" t="inlineStr">
        <is>
          <t>国泰海通</t>
        </is>
      </c>
      <c r="D50" s="178" t="inlineStr">
        <is>
          <t>信用卡消费贷款</t>
        </is>
      </c>
      <c r="E50" s="179" t="n"/>
      <c r="F50" s="180" t="n">
        <v>45523</v>
      </c>
      <c r="G50" s="746" t="n">
        <v>82500</v>
      </c>
      <c r="H50" s="746" t="n">
        <v>0</v>
      </c>
      <c r="I50" s="746" t="n">
        <v>0</v>
      </c>
      <c r="J50" s="182" t="n">
        <v>46038</v>
      </c>
      <c r="L50" s="178" t="inlineStr">
        <is>
          <t>2489229.IB</t>
        </is>
      </c>
      <c r="M50" s="743" t="n">
        <v>25.4</v>
      </c>
      <c r="N50" s="128" t="n"/>
      <c r="O50" s="741" t="n"/>
      <c r="P50" s="128" t="n"/>
    </row>
    <row r="51">
      <c r="B51" s="128" t="inlineStr">
        <is>
          <t>24橙益11C</t>
        </is>
      </c>
      <c r="C51" s="128" t="inlineStr">
        <is>
          <t>国泰海通</t>
        </is>
      </c>
      <c r="D51" s="128" t="inlineStr">
        <is>
          <t>信用卡消费贷款</t>
        </is>
      </c>
      <c r="F51" s="131" t="n">
        <v>45533</v>
      </c>
      <c r="G51" s="657" t="n">
        <v>11000</v>
      </c>
      <c r="H51" s="657" t="n">
        <v>0</v>
      </c>
      <c r="I51" s="657" t="n">
        <v>0</v>
      </c>
      <c r="J51" s="350" t="n">
        <v>45905</v>
      </c>
      <c r="L51" s="128" t="inlineStr">
        <is>
          <t>2489237.IB</t>
        </is>
      </c>
      <c r="M51" s="743" t="n"/>
      <c r="O51" s="741" t="n"/>
    </row>
    <row r="52">
      <c r="B52" s="128" t="inlineStr">
        <is>
          <t>24惠元7C</t>
        </is>
      </c>
      <c r="C52" s="128" t="inlineStr">
        <is>
          <t>国泰海通</t>
        </is>
      </c>
      <c r="D52" s="128" t="inlineStr">
        <is>
          <t>信用卡消费贷款</t>
        </is>
      </c>
      <c r="F52" s="131" t="n">
        <v>45558</v>
      </c>
      <c r="G52" s="657" t="n">
        <v>52000</v>
      </c>
      <c r="H52" s="657" t="n">
        <v>0</v>
      </c>
      <c r="I52" s="657" t="n">
        <v>0</v>
      </c>
      <c r="J52" s="350" t="n">
        <v>45630</v>
      </c>
      <c r="L52" s="128" t="inlineStr">
        <is>
          <t>2489253.IB</t>
        </is>
      </c>
      <c r="M52" s="743" t="n">
        <v>100</v>
      </c>
      <c r="O52" s="741" t="n"/>
    </row>
    <row r="53">
      <c r="B53" s="128" t="inlineStr">
        <is>
          <t>24邮盈惠兴6C</t>
        </is>
      </c>
      <c r="C53" s="128" t="inlineStr">
        <is>
          <t>国泰海通</t>
        </is>
      </c>
      <c r="D53" s="128" t="inlineStr">
        <is>
          <t>一般消费贷款</t>
        </is>
      </c>
      <c r="F53" s="131" t="n">
        <v>45559</v>
      </c>
      <c r="G53" s="657" t="n">
        <v>24400</v>
      </c>
      <c r="H53" s="657" t="n">
        <v>0</v>
      </c>
      <c r="I53" s="657" t="n">
        <v>0</v>
      </c>
      <c r="J53" s="350" t="n">
        <v>45698</v>
      </c>
      <c r="L53" s="128" t="inlineStr">
        <is>
          <t>2489257.IB</t>
        </is>
      </c>
      <c r="M53" s="743" t="n"/>
      <c r="O53" s="741" t="n"/>
    </row>
    <row r="54">
      <c r="B54" s="128" t="inlineStr">
        <is>
          <t>24浦鑫归航5C</t>
        </is>
      </c>
      <c r="C54" s="128" t="inlineStr">
        <is>
          <t>国泰海通</t>
        </is>
      </c>
      <c r="D54" s="128" t="inlineStr">
        <is>
          <t>信用卡消费贷款</t>
        </is>
      </c>
      <c r="F54" s="131" t="n">
        <v>45560</v>
      </c>
      <c r="G54" s="657" t="n">
        <v>100000</v>
      </c>
      <c r="H54" s="657" t="n">
        <v>0</v>
      </c>
      <c r="I54" s="657" t="n">
        <v>0</v>
      </c>
      <c r="J54" s="350" t="n">
        <v>45905</v>
      </c>
      <c r="L54" s="128" t="inlineStr">
        <is>
          <t>2489284.IB</t>
        </is>
      </c>
      <c r="M54" s="743" t="n">
        <v>37.63</v>
      </c>
      <c r="O54" s="741" t="n"/>
    </row>
    <row r="55">
      <c r="B55" s="128" t="inlineStr">
        <is>
          <t>24工元至诚3C</t>
        </is>
      </c>
      <c r="C55" s="128" t="inlineStr">
        <is>
          <t>国泰海通</t>
        </is>
      </c>
      <c r="D55" s="128" t="inlineStr">
        <is>
          <t>一般消费贷款</t>
        </is>
      </c>
      <c r="F55" s="131" t="n">
        <v>45617</v>
      </c>
      <c r="G55" s="657" t="n">
        <v>60000</v>
      </c>
      <c r="H55" s="657" t="n">
        <v>0</v>
      </c>
      <c r="I55" s="657" t="n">
        <v>0</v>
      </c>
      <c r="J55" s="350" t="n">
        <v>45771</v>
      </c>
      <c r="L55" s="128" t="inlineStr">
        <is>
          <t>2489335.IB</t>
        </is>
      </c>
      <c r="M55" s="743" t="n"/>
      <c r="O55" s="741" t="n"/>
    </row>
    <row r="56">
      <c r="B56" s="128" t="inlineStr">
        <is>
          <t>24惠元8C</t>
        </is>
      </c>
      <c r="C56" s="128" t="inlineStr">
        <is>
          <t>国泰海通</t>
        </is>
      </c>
      <c r="D56" s="128" t="inlineStr">
        <is>
          <t>信用卡消费贷款</t>
        </is>
      </c>
      <c r="F56" s="131" t="n">
        <v>45617</v>
      </c>
      <c r="G56" s="657" t="n">
        <v>154500</v>
      </c>
      <c r="H56" s="657" t="n">
        <v>0</v>
      </c>
      <c r="I56" s="657" t="n">
        <v>0</v>
      </c>
      <c r="J56" s="350" t="n">
        <v>45905</v>
      </c>
      <c r="L56" s="128" t="inlineStr">
        <is>
          <t>2489337.IB</t>
        </is>
      </c>
      <c r="M56" s="743" t="n">
        <v>100</v>
      </c>
      <c r="O56" s="741" t="n"/>
    </row>
    <row r="57">
      <c r="B57" s="128" t="inlineStr">
        <is>
          <t>24兴瑞8C</t>
        </is>
      </c>
      <c r="C57" s="128" t="inlineStr">
        <is>
          <t>国泰海通</t>
        </is>
      </c>
      <c r="D57" s="128" t="inlineStr">
        <is>
          <t>信用卡消费贷款</t>
        </is>
      </c>
      <c r="F57" s="131" t="n">
        <v>45630</v>
      </c>
      <c r="G57" s="657" t="n">
        <v>91000</v>
      </c>
      <c r="H57" s="657" t="n">
        <v>0</v>
      </c>
      <c r="I57" s="657" t="n">
        <v>0</v>
      </c>
      <c r="J57" s="350" t="n">
        <v>45954</v>
      </c>
      <c r="L57" s="128" t="inlineStr">
        <is>
          <t>2489382.IB</t>
        </is>
      </c>
      <c r="M57" s="743" t="n"/>
      <c r="O57" s="741" t="n"/>
    </row>
    <row r="58">
      <c r="B58" s="128" t="inlineStr">
        <is>
          <t>24工元至诚4C</t>
        </is>
      </c>
      <c r="C58" s="128" t="inlineStr">
        <is>
          <t>国泰海通</t>
        </is>
      </c>
      <c r="D58" s="128" t="inlineStr">
        <is>
          <t>信用卡消费贷款</t>
        </is>
      </c>
      <c r="F58" s="131" t="n">
        <v>45631</v>
      </c>
      <c r="G58" s="657" t="n">
        <v>172000</v>
      </c>
      <c r="H58" s="657" t="n">
        <v>0</v>
      </c>
      <c r="I58" s="657" t="n">
        <v>0</v>
      </c>
      <c r="J58" s="350" t="n">
        <v>45869</v>
      </c>
      <c r="L58" s="128" t="inlineStr">
        <is>
          <t>2489376.IB</t>
        </is>
      </c>
      <c r="M58" s="743" t="n">
        <v>100</v>
      </c>
      <c r="O58" s="741" t="n"/>
    </row>
    <row r="59">
      <c r="B59" s="128" t="inlineStr">
        <is>
          <t>24邮盈惠兴8C</t>
        </is>
      </c>
      <c r="C59" s="128" t="inlineStr">
        <is>
          <t>国泰海通</t>
        </is>
      </c>
      <c r="D59" s="128" t="inlineStr">
        <is>
          <t>信用卡消费贷款</t>
        </is>
      </c>
      <c r="F59" s="131" t="n">
        <v>45638</v>
      </c>
      <c r="G59" s="657" t="n">
        <v>80000</v>
      </c>
      <c r="H59" s="657" t="n">
        <v>0</v>
      </c>
      <c r="I59" s="657" t="n">
        <v>0</v>
      </c>
      <c r="J59" s="350" t="n">
        <v>45716</v>
      </c>
      <c r="L59" s="128" t="inlineStr">
        <is>
          <t>2489390.IB</t>
        </is>
      </c>
      <c r="M59" s="743" t="n">
        <v>38.29</v>
      </c>
      <c r="O59" s="741" t="n"/>
    </row>
    <row r="60">
      <c r="B60" s="128" t="inlineStr">
        <is>
          <t>24建欣12C</t>
        </is>
      </c>
      <c r="C60" s="128" t="inlineStr">
        <is>
          <t>国泰海通</t>
        </is>
      </c>
      <c r="D60" s="128" t="inlineStr">
        <is>
          <t>一般消费贷款</t>
        </is>
      </c>
      <c r="F60" s="131" t="n">
        <v>45645</v>
      </c>
      <c r="G60" s="657" t="n">
        <v>17400</v>
      </c>
      <c r="H60" s="657" t="n">
        <v>0</v>
      </c>
      <c r="I60" s="657" t="n">
        <v>0</v>
      </c>
      <c r="J60" s="350" t="n">
        <v>45905</v>
      </c>
      <c r="L60" s="128" t="inlineStr">
        <is>
          <t>2489418.IB</t>
        </is>
      </c>
      <c r="M60" s="743" t="n"/>
      <c r="O60" s="741" t="n"/>
    </row>
    <row r="61">
      <c r="B61" s="128" t="inlineStr">
        <is>
          <t>24建欣12优先</t>
        </is>
      </c>
      <c r="C61" s="128" t="inlineStr">
        <is>
          <t>国泰海通</t>
        </is>
      </c>
      <c r="D61" s="128" t="inlineStr">
        <is>
          <t>一般消费贷款</t>
        </is>
      </c>
      <c r="F61" s="131" t="n">
        <v>45645</v>
      </c>
      <c r="G61" s="657" t="n">
        <v>29400</v>
      </c>
      <c r="H61" s="657" t="n">
        <v>0</v>
      </c>
      <c r="I61" s="657" t="n">
        <v>0</v>
      </c>
      <c r="J61" s="350" t="n">
        <v>45649</v>
      </c>
      <c r="L61" s="128" t="inlineStr">
        <is>
          <t>2489417.IB</t>
        </is>
      </c>
      <c r="M61" s="743" t="n"/>
      <c r="O61" s="741" t="n"/>
    </row>
    <row r="62">
      <c r="B62" s="128" t="inlineStr">
        <is>
          <t>24橙益17C</t>
        </is>
      </c>
      <c r="C62" s="128" t="inlineStr">
        <is>
          <t>国泰海通</t>
        </is>
      </c>
      <c r="D62" s="128" t="inlineStr">
        <is>
          <t>信用卡消费贷款</t>
        </is>
      </c>
      <c r="E62" s="349" t="n">
        <v>0.05</v>
      </c>
      <c r="F62" s="131" t="n">
        <v>45650</v>
      </c>
      <c r="G62" s="657" t="n">
        <v>18200</v>
      </c>
      <c r="H62" s="657" t="n">
        <v>0</v>
      </c>
      <c r="I62" s="657" t="n">
        <v>0</v>
      </c>
      <c r="J62" s="350" t="n">
        <v>46052</v>
      </c>
      <c r="L62" s="128" t="inlineStr">
        <is>
          <t>2489414.IB</t>
        </is>
      </c>
      <c r="M62" s="743" t="n">
        <v>92.8189</v>
      </c>
      <c r="O62" s="741" t="n"/>
    </row>
    <row r="63">
      <c r="B63" s="128" t="inlineStr">
        <is>
          <t>24橙益17优先</t>
        </is>
      </c>
      <c r="C63" s="128" t="inlineStr">
        <is>
          <t>国泰海通</t>
        </is>
      </c>
      <c r="D63" s="128" t="inlineStr">
        <is>
          <t>信用卡消费贷款</t>
        </is>
      </c>
      <c r="F63" s="131" t="n">
        <v>45650</v>
      </c>
      <c r="G63" s="657" t="n">
        <v>36000</v>
      </c>
      <c r="H63" s="657" t="n">
        <v>0</v>
      </c>
      <c r="I63" s="657" t="n">
        <v>0</v>
      </c>
      <c r="J63" s="350" t="n">
        <v>45656</v>
      </c>
      <c r="L63" s="128" t="inlineStr">
        <is>
          <t>2489413.IB</t>
        </is>
      </c>
      <c r="M63" s="743" t="n"/>
      <c r="O63" s="741" t="n"/>
    </row>
    <row r="64">
      <c r="B64" s="246" t="inlineStr">
        <is>
          <t>24浦鑫归航8C</t>
        </is>
      </c>
      <c r="C64" s="128" t="inlineStr">
        <is>
          <t>国泰海通</t>
        </is>
      </c>
      <c r="D64" s="128" t="inlineStr">
        <is>
          <t>信用卡消费贷款</t>
        </is>
      </c>
      <c r="E64" s="349" t="n">
        <v>0.05</v>
      </c>
      <c r="F64" s="131" t="n">
        <v>45652</v>
      </c>
      <c r="G64" s="657" t="n">
        <v>100000</v>
      </c>
      <c r="H64" s="657" t="n">
        <v>50000</v>
      </c>
      <c r="I64" s="745" t="n">
        <v>478.55</v>
      </c>
      <c r="K64" s="128" t="inlineStr">
        <is>
          <t>0726之前买回</t>
        </is>
      </c>
      <c r="L64" s="128" t="inlineStr">
        <is>
          <t>2489436.IB</t>
        </is>
      </c>
      <c r="M64" s="743" t="n">
        <v>100</v>
      </c>
      <c r="N64" s="344" t="n">
        <v>46168</v>
      </c>
      <c r="O64" s="741" t="n"/>
    </row>
    <row r="65">
      <c r="B65" s="246" t="inlineStr">
        <is>
          <t>25兴瑞1C</t>
        </is>
      </c>
      <c r="C65" s="128" t="inlineStr">
        <is>
          <t>国泰海通</t>
        </is>
      </c>
      <c r="D65" s="128" t="inlineStr">
        <is>
          <t>信用卡消费贷款</t>
        </is>
      </c>
      <c r="E65" s="349" t="n">
        <v>0.05</v>
      </c>
      <c r="F65" s="131" t="n">
        <v>45740</v>
      </c>
      <c r="G65" s="657" t="n">
        <v>90000</v>
      </c>
      <c r="H65" s="657" t="n">
        <v>0</v>
      </c>
      <c r="I65" s="742" t="n">
        <v>0</v>
      </c>
      <c r="J65" s="350" t="n">
        <v>46063</v>
      </c>
      <c r="L65" s="128" t="inlineStr">
        <is>
          <t>2589025.IB</t>
        </is>
      </c>
      <c r="M65" s="743" t="n">
        <v>67.69</v>
      </c>
      <c r="O65" s="741" t="n"/>
    </row>
    <row r="66">
      <c r="B66" s="246" t="inlineStr">
        <is>
          <t>25浦鑫归航1C</t>
        </is>
      </c>
      <c r="C66" s="128" t="inlineStr">
        <is>
          <t>国泰海通</t>
        </is>
      </c>
      <c r="D66" s="128" t="inlineStr">
        <is>
          <t>信用卡消费贷款</t>
        </is>
      </c>
      <c r="E66" s="349" t="n">
        <v>0.05</v>
      </c>
      <c r="F66" s="131" t="n">
        <v>45741</v>
      </c>
      <c r="G66" s="657" t="n">
        <v>120000</v>
      </c>
      <c r="H66" s="657" t="n">
        <v>0</v>
      </c>
      <c r="I66" s="742" t="n">
        <v>0</v>
      </c>
      <c r="J66" s="350" t="n">
        <v>46063</v>
      </c>
      <c r="K66" s="128" t="inlineStr">
        <is>
          <t>226开始兑付次级本金</t>
        </is>
      </c>
      <c r="L66" s="128" t="inlineStr">
        <is>
          <t>2589031.IB</t>
        </is>
      </c>
      <c r="M66" s="743" t="n">
        <v>100</v>
      </c>
      <c r="O66" s="741" t="n"/>
    </row>
    <row r="67">
      <c r="B67" s="246" t="inlineStr">
        <is>
          <t>25中誉至诚1C</t>
        </is>
      </c>
      <c r="C67" s="128" t="inlineStr">
        <is>
          <t>国泰海通</t>
        </is>
      </c>
      <c r="D67" s="128" t="inlineStr">
        <is>
          <t>信用卡消费贷款</t>
        </is>
      </c>
      <c r="E67" s="349" t="n">
        <v>0.05</v>
      </c>
      <c r="F67" s="131" t="n">
        <v>45741</v>
      </c>
      <c r="G67" s="657" t="n">
        <v>8000</v>
      </c>
      <c r="H67" s="657" t="n">
        <v>8000</v>
      </c>
      <c r="I67" s="742" t="n">
        <v>1.678530877419363</v>
      </c>
      <c r="K67" s="128" t="inlineStr">
        <is>
          <t>无法买回，关注后续收益率</t>
        </is>
      </c>
      <c r="L67" s="128" t="inlineStr">
        <is>
          <t>2589012.IB</t>
        </is>
      </c>
      <c r="M67" s="743" t="n">
        <v>0</v>
      </c>
      <c r="N67" s="128" t="inlineStr">
        <is>
          <t>2026-07-26</t>
        </is>
      </c>
      <c r="O67" s="741" t="n"/>
    </row>
    <row r="68">
      <c r="B68" s="246" t="inlineStr">
        <is>
          <t>25惠元2C</t>
        </is>
      </c>
      <c r="C68" s="128" t="inlineStr">
        <is>
          <t>国泰海通</t>
        </is>
      </c>
      <c r="D68" s="128" t="inlineStr">
        <is>
          <t>信用卡消费贷款</t>
        </is>
      </c>
      <c r="E68" s="349" t="n">
        <v>0.05</v>
      </c>
      <c r="F68" s="131" t="n">
        <v>45742</v>
      </c>
      <c r="G68" s="657" t="n">
        <v>96000</v>
      </c>
      <c r="H68" s="657" t="n">
        <v>0</v>
      </c>
      <c r="I68" s="742" t="n">
        <v>0</v>
      </c>
      <c r="J68" s="350" t="n">
        <v>46086</v>
      </c>
      <c r="K68" s="128" t="inlineStr">
        <is>
          <t>回收差，卖断</t>
        </is>
      </c>
      <c r="L68" s="128" t="inlineStr">
        <is>
          <t>2589029.IB</t>
        </is>
      </c>
      <c r="M68" s="743" t="n"/>
      <c r="O68" s="741" t="n"/>
      <c r="P68" s="128">
        <f>960*(108.7875-107.8396)/100</f>
        <v/>
      </c>
    </row>
    <row r="69">
      <c r="B69" s="128" t="inlineStr">
        <is>
          <t>25建欣1C</t>
        </is>
      </c>
      <c r="C69" s="128" t="inlineStr">
        <is>
          <t>国泰海通</t>
        </is>
      </c>
      <c r="D69" s="128" t="inlineStr">
        <is>
          <t>信用卡消费贷款</t>
        </is>
      </c>
      <c r="E69" s="349" t="n">
        <v>0.05</v>
      </c>
      <c r="F69" s="131" t="inlineStr">
        <is>
          <t>2025/3/26；2026/4/24</t>
        </is>
      </c>
      <c r="G69" s="657" t="n">
        <v>55800</v>
      </c>
      <c r="H69" s="657" t="n">
        <v>75000</v>
      </c>
      <c r="I69" s="745">
        <f>+H69*114.4557%/100</f>
        <v/>
      </c>
      <c r="J69" s="350" t="n">
        <v>46113</v>
      </c>
      <c r="K69" s="249" t="inlineStr">
        <is>
          <t>0726前买回</t>
        </is>
      </c>
      <c r="L69" s="128" t="inlineStr">
        <is>
          <t>2589057.IB</t>
        </is>
      </c>
      <c r="M69" s="743" t="n"/>
      <c r="N69" s="344" t="n">
        <v>46229</v>
      </c>
      <c r="O69" s="741" t="n"/>
    </row>
    <row r="70">
      <c r="B70" s="128" t="inlineStr">
        <is>
          <t>24兴瑞5C</t>
        </is>
      </c>
      <c r="C70" s="128" t="inlineStr">
        <is>
          <t>国泰海通</t>
        </is>
      </c>
      <c r="D70" s="128" t="inlineStr">
        <is>
          <t>信用卡消费贷款</t>
        </is>
      </c>
      <c r="F70" s="131" t="n">
        <v>45771</v>
      </c>
      <c r="G70" s="657" t="n">
        <v>63000</v>
      </c>
      <c r="H70" s="657" t="n">
        <v>0</v>
      </c>
      <c r="I70" s="657" t="n">
        <v>0</v>
      </c>
      <c r="J70" s="350" t="n">
        <v>45862</v>
      </c>
      <c r="L70" s="128" t="inlineStr">
        <is>
          <t>2489264.IB</t>
        </is>
      </c>
      <c r="M70" s="743" t="n"/>
      <c r="O70" s="741" t="n"/>
    </row>
    <row r="71">
      <c r="B71" s="128" t="inlineStr">
        <is>
          <t>25橙益4C</t>
        </is>
      </c>
      <c r="C71" s="128" t="inlineStr">
        <is>
          <t>国泰海通</t>
        </is>
      </c>
      <c r="D71" s="128" t="inlineStr">
        <is>
          <t>信用卡消费贷款</t>
        </is>
      </c>
      <c r="E71" s="349" t="n">
        <v>0.05</v>
      </c>
      <c r="F71" s="131" t="n">
        <v>45771</v>
      </c>
      <c r="G71" s="657" t="n">
        <v>55000</v>
      </c>
      <c r="H71" s="657" t="n">
        <v>0</v>
      </c>
      <c r="I71" s="657" t="n">
        <v>0</v>
      </c>
      <c r="J71" s="350" t="n">
        <v>46113</v>
      </c>
      <c r="K71" s="128" t="inlineStr">
        <is>
          <t>0426开始兑付本金</t>
        </is>
      </c>
      <c r="L71" s="128" t="inlineStr">
        <is>
          <t>2589087.IB</t>
        </is>
      </c>
      <c r="M71" s="743" t="n"/>
      <c r="O71" s="741" t="n"/>
    </row>
    <row r="72">
      <c r="B72" s="128" t="inlineStr">
        <is>
          <t>25橙益8C</t>
        </is>
      </c>
      <c r="C72" s="128" t="inlineStr">
        <is>
          <t>国泰海通</t>
        </is>
      </c>
      <c r="D72" s="128" t="inlineStr">
        <is>
          <t>信用卡消费贷款</t>
        </is>
      </c>
      <c r="E72" s="349" t="n">
        <v>0.05</v>
      </c>
      <c r="F72" s="131" t="n">
        <v>45804</v>
      </c>
      <c r="G72" s="657" t="n">
        <v>28500</v>
      </c>
      <c r="H72" s="657" t="n">
        <v>0</v>
      </c>
      <c r="I72" s="657" t="n">
        <v>0</v>
      </c>
      <c r="J72" s="350" t="n">
        <v>46113</v>
      </c>
      <c r="K72" s="128" t="inlineStr">
        <is>
          <t>0426开始兑付本金</t>
        </is>
      </c>
      <c r="L72" s="128" t="inlineStr">
        <is>
          <t>2589115.IB</t>
        </is>
      </c>
      <c r="M72" s="743" t="n"/>
      <c r="O72" s="741" t="n"/>
    </row>
    <row r="73">
      <c r="B73" s="128" t="inlineStr">
        <is>
          <t>25橙益8优先</t>
        </is>
      </c>
      <c r="C73" s="128" t="inlineStr">
        <is>
          <t>国泰海通</t>
        </is>
      </c>
      <c r="D73" s="128" t="inlineStr">
        <is>
          <t>信用卡消费贷款</t>
        </is>
      </c>
      <c r="F73" s="131" t="n">
        <v>45804</v>
      </c>
      <c r="G73" s="657" t="n">
        <v>48500</v>
      </c>
      <c r="H73" s="657" t="n">
        <v>0</v>
      </c>
      <c r="I73" s="657" t="n">
        <v>0</v>
      </c>
      <c r="J73" s="350" t="n">
        <v>45807</v>
      </c>
      <c r="L73" s="128" t="inlineStr">
        <is>
          <t>2589114.IB</t>
        </is>
      </c>
      <c r="M73" s="743" t="n">
        <v>20.5343</v>
      </c>
      <c r="O73" s="741" t="n"/>
    </row>
    <row r="74">
      <c r="B74" s="128" t="inlineStr">
        <is>
          <t>24邮盈惠兴4C</t>
        </is>
      </c>
      <c r="C74" s="128" t="inlineStr">
        <is>
          <t>国泰海通</t>
        </is>
      </c>
      <c r="D74" s="128" t="inlineStr">
        <is>
          <t>信用卡消费贷款</t>
        </is>
      </c>
      <c r="E74" s="349" t="n"/>
      <c r="F74" s="131" t="n">
        <v>45806</v>
      </c>
      <c r="G74" s="657" t="n">
        <v>40000</v>
      </c>
      <c r="H74" s="657" t="n">
        <v>0</v>
      </c>
      <c r="I74" s="657" t="n">
        <v>0</v>
      </c>
      <c r="J74" s="350" t="n">
        <v>46038</v>
      </c>
      <c r="K74" s="477" t="n"/>
      <c r="L74" s="128" t="inlineStr">
        <is>
          <t>2489188.IB</t>
        </is>
      </c>
      <c r="M74" s="743" t="n"/>
      <c r="O74" s="741" t="n"/>
    </row>
    <row r="75">
      <c r="B75" s="128" t="inlineStr">
        <is>
          <t>25中誉至诚3C</t>
        </is>
      </c>
      <c r="C75" s="128" t="inlineStr">
        <is>
          <t>国泰海通</t>
        </is>
      </c>
      <c r="D75" s="128" t="inlineStr">
        <is>
          <t>一般消费贷款</t>
        </is>
      </c>
      <c r="E75" s="349" t="n">
        <v>0.05</v>
      </c>
      <c r="F75" s="131" t="n">
        <v>45806</v>
      </c>
      <c r="G75" s="657" t="n">
        <v>30600</v>
      </c>
      <c r="H75" s="657" t="n">
        <v>0</v>
      </c>
      <c r="I75" s="657" t="n">
        <v>0</v>
      </c>
      <c r="J75" s="350" t="n">
        <v>46059</v>
      </c>
      <c r="K75" s="477" t="inlineStr">
        <is>
          <t>需在226之前买回</t>
        </is>
      </c>
      <c r="L75" s="128" t="inlineStr">
        <is>
          <t>2589127.IB</t>
        </is>
      </c>
      <c r="M75" s="743" t="n">
        <v>100</v>
      </c>
      <c r="O75" s="741" t="n"/>
    </row>
    <row r="76">
      <c r="B76" s="128" t="inlineStr">
        <is>
          <t>25工元至诚普银3C</t>
        </is>
      </c>
      <c r="C76" s="128" t="inlineStr">
        <is>
          <t>国泰海通</t>
        </is>
      </c>
      <c r="D76" s="128" t="inlineStr">
        <is>
          <t>微小企业贷款</t>
        </is>
      </c>
      <c r="E76" s="349" t="n">
        <v>0.05</v>
      </c>
      <c r="F76" s="131" t="n">
        <v>45831</v>
      </c>
      <c r="G76" s="657" t="n">
        <v>65100</v>
      </c>
      <c r="H76" s="657" t="n">
        <v>0</v>
      </c>
      <c r="I76" s="744" t="n">
        <v>0</v>
      </c>
      <c r="J76" s="350" t="n">
        <v>46121</v>
      </c>
      <c r="K76" s="128" t="inlineStr">
        <is>
          <t>0420关注</t>
        </is>
      </c>
      <c r="L76" s="128" t="inlineStr">
        <is>
          <t>2589168.IB</t>
        </is>
      </c>
      <c r="M76" s="743" t="n"/>
      <c r="O76" s="741" t="n"/>
    </row>
    <row r="77">
      <c r="B77" s="128" t="inlineStr">
        <is>
          <t>25中誉至诚4C</t>
        </is>
      </c>
      <c r="C77" s="128" t="inlineStr">
        <is>
          <t>国泰海通</t>
        </is>
      </c>
      <c r="D77" s="128" t="inlineStr">
        <is>
          <t>住房抵押贷款</t>
        </is>
      </c>
      <c r="E77" s="349" t="n">
        <v>0.05</v>
      </c>
      <c r="F77" s="131" t="n">
        <v>45831</v>
      </c>
      <c r="G77" s="657" t="n">
        <v>100000</v>
      </c>
      <c r="H77" s="657" t="n">
        <v>100000</v>
      </c>
      <c r="I77" s="657" t="n">
        <v>1030</v>
      </c>
      <c r="L77" s="128" t="inlineStr">
        <is>
          <t>2589157.IB</t>
        </is>
      </c>
      <c r="M77" s="743" t="n">
        <v>100</v>
      </c>
      <c r="N77" s="128" t="inlineStr">
        <is>
          <t>2026-08-26</t>
        </is>
      </c>
      <c r="O77" s="741" t="n"/>
    </row>
    <row r="78">
      <c r="B78" s="128" t="inlineStr">
        <is>
          <t>25建欣7C</t>
        </is>
      </c>
      <c r="C78" s="128" t="inlineStr">
        <is>
          <t>国泰海通</t>
        </is>
      </c>
      <c r="D78" s="128" t="inlineStr">
        <is>
          <t>信用卡消费贷款</t>
        </is>
      </c>
      <c r="E78" s="349" t="n">
        <v>0.05</v>
      </c>
      <c r="F78" s="131" t="n">
        <v>45832</v>
      </c>
      <c r="G78" s="657" t="n">
        <v>41300</v>
      </c>
      <c r="H78" s="657" t="n">
        <v>41300</v>
      </c>
      <c r="I78" s="745">
        <f>425.39-10.24%*H78/100</f>
        <v/>
      </c>
      <c r="K78" s="128" t="inlineStr">
        <is>
          <t>0726兑付本金，不涉及利息</t>
        </is>
      </c>
      <c r="L78" s="128" t="inlineStr">
        <is>
          <t>2589216.IB</t>
        </is>
      </c>
      <c r="M78" s="743" t="n">
        <v>100</v>
      </c>
      <c r="N78" s="344" t="n">
        <v>46229</v>
      </c>
      <c r="O78" s="741" t="n"/>
    </row>
    <row r="79">
      <c r="B79" s="128" t="inlineStr">
        <is>
          <t>25建欣7优先</t>
        </is>
      </c>
      <c r="C79" s="128" t="inlineStr">
        <is>
          <t>国泰海通</t>
        </is>
      </c>
      <c r="D79" s="128" t="inlineStr">
        <is>
          <t>信用卡消费贷款</t>
        </is>
      </c>
      <c r="F79" s="131" t="n">
        <v>45832</v>
      </c>
      <c r="G79" s="657" t="n">
        <v>41300</v>
      </c>
      <c r="H79" s="657" t="n">
        <v>0</v>
      </c>
      <c r="I79" s="657" t="n">
        <v>0</v>
      </c>
      <c r="J79" s="350" t="n">
        <v>45835</v>
      </c>
      <c r="L79" s="128" t="inlineStr">
        <is>
          <t>2589215.IB</t>
        </is>
      </c>
      <c r="M79" s="743" t="n">
        <v>5.22</v>
      </c>
      <c r="O79" s="741" t="n"/>
    </row>
    <row r="80">
      <c r="B80" s="128" t="inlineStr">
        <is>
          <t>25工元至诚惠银2C</t>
        </is>
      </c>
      <c r="C80" s="128" t="inlineStr">
        <is>
          <t>国泰海通</t>
        </is>
      </c>
      <c r="D80" s="128" t="inlineStr">
        <is>
          <t>一般消费贷款</t>
        </is>
      </c>
      <c r="E80" s="349" t="n">
        <v>0.05</v>
      </c>
      <c r="F80" s="131" t="n">
        <v>45834</v>
      </c>
      <c r="G80" s="657" t="n">
        <v>100000</v>
      </c>
      <c r="H80" s="657">
        <f>100000-10000</f>
        <v/>
      </c>
      <c r="I80" s="745">
        <f>1060-19.636%*H80/100</f>
        <v/>
      </c>
      <c r="K80" s="249" t="inlineStr">
        <is>
          <t>0726前买回</t>
        </is>
      </c>
      <c r="L80" s="128" t="inlineStr">
        <is>
          <t>2589222.IB</t>
        </is>
      </c>
      <c r="M80" s="743" t="n">
        <v>100</v>
      </c>
      <c r="N80" s="344" t="n">
        <v>46229</v>
      </c>
      <c r="O80" s="741" t="n"/>
    </row>
    <row r="81">
      <c r="B81" s="128" t="inlineStr">
        <is>
          <t>25浦鑫归航4C</t>
        </is>
      </c>
      <c r="C81" s="128" t="inlineStr">
        <is>
          <t>国泰海通</t>
        </is>
      </c>
      <c r="D81" s="128" t="inlineStr">
        <is>
          <t>信用卡消费贷款</t>
        </is>
      </c>
      <c r="E81" s="349" t="n">
        <v>0.045</v>
      </c>
      <c r="F81" s="131" t="n">
        <v>45856</v>
      </c>
      <c r="G81" s="657" t="n">
        <v>70000</v>
      </c>
      <c r="H81" s="657" t="n">
        <v>70000</v>
      </c>
      <c r="I81" s="657" t="n">
        <v>708.2054000000001</v>
      </c>
      <c r="L81" s="128" t="inlineStr">
        <is>
          <t>2589208.IB</t>
        </is>
      </c>
      <c r="M81" s="743" t="n">
        <v>100</v>
      </c>
      <c r="N81" s="344" t="n">
        <v>46168</v>
      </c>
      <c r="O81" s="741" t="n"/>
    </row>
    <row r="82">
      <c r="B82" s="128" t="inlineStr">
        <is>
          <t>25橙益15C</t>
        </is>
      </c>
      <c r="C82" s="128" t="inlineStr">
        <is>
          <t>国泰海通</t>
        </is>
      </c>
      <c r="D82" s="128" t="inlineStr">
        <is>
          <t>信用卡消费贷款</t>
        </is>
      </c>
      <c r="E82" s="349" t="n">
        <v>0.045</v>
      </c>
      <c r="F82" s="131" t="n">
        <v>45862</v>
      </c>
      <c r="G82" s="657" t="n">
        <v>12800</v>
      </c>
      <c r="H82" s="657" t="n">
        <v>12800</v>
      </c>
      <c r="I82" s="657" t="n">
        <v>130.56</v>
      </c>
      <c r="L82" s="128" t="inlineStr">
        <is>
          <t>2589243.IB</t>
        </is>
      </c>
      <c r="M82" s="743" t="n">
        <v>100</v>
      </c>
      <c r="N82" s="128" t="inlineStr">
        <is>
          <t>2026-05-26</t>
        </is>
      </c>
      <c r="O82" s="741" t="n"/>
    </row>
    <row r="83">
      <c r="B83" s="128" t="inlineStr">
        <is>
          <t>25橙益15优先</t>
        </is>
      </c>
      <c r="C83" s="128" t="inlineStr">
        <is>
          <t>国泰海通</t>
        </is>
      </c>
      <c r="D83" s="128" t="inlineStr">
        <is>
          <t>信用卡消费贷款</t>
        </is>
      </c>
      <c r="F83" s="131" t="n">
        <v>45862</v>
      </c>
      <c r="G83" s="657" t="n">
        <v>30700</v>
      </c>
      <c r="H83" s="657" t="n">
        <v>0</v>
      </c>
      <c r="I83" s="657" t="n">
        <v>0</v>
      </c>
      <c r="J83" s="350" t="n">
        <v>45869</v>
      </c>
      <c r="L83" s="128" t="inlineStr">
        <is>
          <t>2589242.IB</t>
        </is>
      </c>
      <c r="M83" s="743" t="n">
        <v>48.7092</v>
      </c>
      <c r="O83" s="741" t="n"/>
      <c r="Q83" s="128" t="inlineStr">
        <is>
          <t>25邮盈惠泽5C</t>
        </is>
      </c>
      <c r="R83" s="349">
        <f>XIRR(R84:R85,Q84:Q85)</f>
        <v/>
      </c>
    </row>
    <row r="84">
      <c r="B84" s="128" t="inlineStr">
        <is>
          <t>25邮盈惠泽5C</t>
        </is>
      </c>
      <c r="C84" s="128" t="inlineStr">
        <is>
          <t>国泰海通</t>
        </is>
      </c>
      <c r="D84" s="128" t="inlineStr">
        <is>
          <t>一般消费贷款</t>
        </is>
      </c>
      <c r="E84" s="349" t="n">
        <v>0.045</v>
      </c>
      <c r="F84" s="131" t="n">
        <v>45876</v>
      </c>
      <c r="G84" s="657" t="n">
        <v>49000</v>
      </c>
      <c r="H84" s="657" t="n">
        <v>0</v>
      </c>
      <c r="I84" s="657" t="n">
        <v>0</v>
      </c>
      <c r="J84" s="350" t="n">
        <v>46105</v>
      </c>
      <c r="K84" s="249" t="n"/>
      <c r="L84" s="128" t="inlineStr">
        <is>
          <t>2589249.IB</t>
        </is>
      </c>
      <c r="M84" s="743" t="n"/>
      <c r="O84" s="741" t="n"/>
      <c r="Q84" s="131" t="n">
        <v>45877</v>
      </c>
      <c r="R84" s="128" t="n">
        <v>-104</v>
      </c>
    </row>
    <row r="85">
      <c r="B85" s="128" t="inlineStr">
        <is>
          <t>25中誉至诚5C</t>
        </is>
      </c>
      <c r="C85" s="128" t="inlineStr">
        <is>
          <t>国泰海通</t>
        </is>
      </c>
      <c r="D85" s="128" t="inlineStr">
        <is>
          <t>住房抵押贷款</t>
        </is>
      </c>
      <c r="E85" s="349" t="n">
        <v>0.045</v>
      </c>
      <c r="F85" s="131" t="n">
        <v>45897</v>
      </c>
      <c r="G85" s="657" t="n">
        <v>300000</v>
      </c>
      <c r="H85" s="657" t="n">
        <v>300000</v>
      </c>
      <c r="I85" s="657" t="n">
        <v>3090</v>
      </c>
      <c r="L85" s="128" t="inlineStr">
        <is>
          <t>2589290.IB</t>
        </is>
      </c>
      <c r="M85" s="743" t="n">
        <v>100</v>
      </c>
      <c r="N85" s="128" t="inlineStr">
        <is>
          <t>2026-08-26</t>
        </is>
      </c>
      <c r="O85" s="741" t="n"/>
      <c r="Q85" s="344" t="n">
        <v>46105</v>
      </c>
      <c r="R85" s="128" t="n">
        <v>106.9</v>
      </c>
    </row>
    <row r="86">
      <c r="B86" s="128" t="inlineStr">
        <is>
          <t>25中誉至诚6C</t>
        </is>
      </c>
      <c r="C86" s="128" t="inlineStr">
        <is>
          <t>国泰海通</t>
        </is>
      </c>
      <c r="D86" s="128" t="inlineStr">
        <is>
          <t>信用卡消费贷款</t>
        </is>
      </c>
      <c r="E86" s="349" t="n">
        <v>0.045</v>
      </c>
      <c r="F86" s="131" t="n">
        <v>45897</v>
      </c>
      <c r="G86" s="657" t="n">
        <v>50000</v>
      </c>
      <c r="H86" s="657" t="n">
        <v>50000</v>
      </c>
      <c r="I86" s="657" t="n">
        <v>520</v>
      </c>
      <c r="L86" s="128" t="inlineStr">
        <is>
          <t>2589292.IB</t>
        </is>
      </c>
      <c r="M86" s="743" t="n">
        <v>100</v>
      </c>
      <c r="N86" s="128" t="inlineStr">
        <is>
          <t>2026-07-26</t>
        </is>
      </c>
      <c r="O86" s="741" t="n"/>
    </row>
    <row r="87">
      <c r="B87" s="128" t="inlineStr">
        <is>
          <t>25工元至诚普银6C</t>
        </is>
      </c>
      <c r="C87" s="128" t="inlineStr">
        <is>
          <t>国泰海通</t>
        </is>
      </c>
      <c r="D87" s="128" t="inlineStr">
        <is>
          <t>微小企业贷款</t>
        </is>
      </c>
      <c r="E87" s="349" t="n">
        <v>0.045</v>
      </c>
      <c r="F87" s="131" t="n">
        <v>45918</v>
      </c>
      <c r="G87" s="657" t="n">
        <v>680000</v>
      </c>
      <c r="H87" s="657" t="n">
        <v>680000</v>
      </c>
      <c r="I87" s="657" t="n">
        <v>6800</v>
      </c>
      <c r="L87" s="128" t="inlineStr">
        <is>
          <t>2589330.IB</t>
        </is>
      </c>
      <c r="M87" s="743" t="n">
        <v>100</v>
      </c>
      <c r="N87" s="128" t="inlineStr">
        <is>
          <t>2026-07-26</t>
        </is>
      </c>
      <c r="O87" s="741" t="n"/>
    </row>
    <row r="88">
      <c r="B88" s="128" t="inlineStr">
        <is>
          <t>25浦鑫归航7C</t>
        </is>
      </c>
      <c r="C88" s="128" t="inlineStr">
        <is>
          <t>国泰海通</t>
        </is>
      </c>
      <c r="D88" s="128" t="inlineStr">
        <is>
          <t>信用卡消费贷款</t>
        </is>
      </c>
      <c r="E88" s="349" t="n">
        <v>0.045</v>
      </c>
      <c r="F88" s="131" t="n">
        <v>45922</v>
      </c>
      <c r="G88" s="657" t="n">
        <v>200000</v>
      </c>
      <c r="H88" s="657">
        <f>200000-15000</f>
        <v/>
      </c>
      <c r="I88" s="745" t="n">
        <v>1850</v>
      </c>
      <c r="L88" s="128" t="inlineStr">
        <is>
          <t>2589350.IB</t>
        </is>
      </c>
      <c r="M88" s="743" t="n">
        <v>100</v>
      </c>
      <c r="N88" s="344" t="n">
        <v>46168</v>
      </c>
      <c r="O88" s="741" t="n"/>
    </row>
    <row r="89">
      <c r="B89" s="128" t="inlineStr">
        <is>
          <t>25橙益21C</t>
        </is>
      </c>
      <c r="C89" s="128" t="inlineStr">
        <is>
          <t>国泰海通</t>
        </is>
      </c>
      <c r="D89" s="128" t="inlineStr">
        <is>
          <t>微小企业贷款</t>
        </is>
      </c>
      <c r="E89" s="349" t="n">
        <v>0.045</v>
      </c>
      <c r="F89" s="131" t="n">
        <v>45924</v>
      </c>
      <c r="G89" s="657" t="n">
        <v>9000</v>
      </c>
      <c r="H89" s="657" t="n">
        <v>9000</v>
      </c>
      <c r="I89" s="745" t="n">
        <v>90</v>
      </c>
      <c r="K89" s="128" t="inlineStr">
        <is>
          <t>0726开始兑付本金</t>
        </is>
      </c>
      <c r="L89" s="128" t="inlineStr">
        <is>
          <t>2589364.IB</t>
        </is>
      </c>
      <c r="M89" s="743" t="n">
        <v>100</v>
      </c>
      <c r="N89" s="344" t="n">
        <v>46229</v>
      </c>
      <c r="O89" s="741" t="n"/>
    </row>
    <row r="90">
      <c r="B90" s="128" t="inlineStr">
        <is>
          <t>25橙益22C</t>
        </is>
      </c>
      <c r="C90" s="128" t="inlineStr">
        <is>
          <t>国泰海通</t>
        </is>
      </c>
      <c r="D90" s="128" t="inlineStr">
        <is>
          <t>一般消费贷款</t>
        </is>
      </c>
      <c r="E90" s="349" t="n">
        <v>0.045</v>
      </c>
      <c r="F90" s="131" t="n">
        <v>45925</v>
      </c>
      <c r="G90" s="657" t="n">
        <v>17200</v>
      </c>
      <c r="H90" s="657">
        <f>17200-2000</f>
        <v/>
      </c>
      <c r="I90" s="745">
        <f>+H90*46.7816%/100</f>
        <v/>
      </c>
      <c r="K90" s="249" t="inlineStr">
        <is>
          <t>0726前买回</t>
        </is>
      </c>
      <c r="L90" s="128" t="inlineStr">
        <is>
          <t>2589366.IB</t>
        </is>
      </c>
      <c r="M90" s="743" t="n">
        <v>100</v>
      </c>
      <c r="N90" s="344" t="n">
        <v>46229</v>
      </c>
      <c r="O90" s="741" t="n"/>
    </row>
    <row r="91">
      <c r="B91" s="128" t="inlineStr">
        <is>
          <t>25橙益23C</t>
        </is>
      </c>
      <c r="C91" s="128" t="inlineStr">
        <is>
          <t>国泰海通</t>
        </is>
      </c>
      <c r="D91" s="128" t="inlineStr">
        <is>
          <t>信用卡消费贷款</t>
        </is>
      </c>
      <c r="E91" s="349" t="n">
        <v>0.045</v>
      </c>
      <c r="F91" s="131" t="n">
        <v>45925</v>
      </c>
      <c r="G91" s="657" t="n">
        <v>41500</v>
      </c>
      <c r="H91" s="657">
        <f>22500-20000</f>
        <v/>
      </c>
      <c r="I91" s="745">
        <f>+H91*74.4607%/100</f>
        <v/>
      </c>
      <c r="K91" s="249" t="inlineStr">
        <is>
          <t>0726前买回</t>
        </is>
      </c>
      <c r="L91" s="128" t="inlineStr">
        <is>
          <t>2589368.IB</t>
        </is>
      </c>
      <c r="M91" s="743" t="n">
        <v>100</v>
      </c>
      <c r="N91" s="344" t="n">
        <v>46229</v>
      </c>
      <c r="O91" s="741" t="n"/>
    </row>
    <row r="92">
      <c r="B92" s="128" t="inlineStr">
        <is>
          <t>25橙益23优先</t>
        </is>
      </c>
      <c r="C92" s="128" t="inlineStr">
        <is>
          <t>国泰海通</t>
        </is>
      </c>
      <c r="D92" s="128" t="inlineStr">
        <is>
          <t>信用卡消费贷款</t>
        </is>
      </c>
      <c r="F92" s="131" t="n">
        <v>45925</v>
      </c>
      <c r="G92" s="657" t="n">
        <v>97000</v>
      </c>
      <c r="H92" s="657" t="n">
        <v>0</v>
      </c>
      <c r="I92" s="657" t="n">
        <v>0</v>
      </c>
      <c r="J92" s="350" t="n">
        <v>45953</v>
      </c>
      <c r="L92" s="128" t="inlineStr">
        <is>
          <t>2589367.IB</t>
        </is>
      </c>
      <c r="M92" s="743" t="n">
        <v>23.7918</v>
      </c>
      <c r="O92" s="741" t="n"/>
    </row>
    <row r="93">
      <c r="B93" s="128" t="inlineStr">
        <is>
          <t>25臻金3C</t>
        </is>
      </c>
      <c r="C93" s="128" t="inlineStr">
        <is>
          <t>国泰海通</t>
        </is>
      </c>
      <c r="D93" s="128" t="inlineStr">
        <is>
          <t>微小企业贷款</t>
        </is>
      </c>
      <c r="E93" s="349" t="n">
        <v>0.045</v>
      </c>
      <c r="F93" s="131" t="n">
        <v>45975</v>
      </c>
      <c r="G93" s="657" t="n">
        <v>250000</v>
      </c>
      <c r="H93" s="657">
        <f>250000-80000</f>
        <v/>
      </c>
      <c r="I93" s="657">
        <f>2528.8375-800*102.675%</f>
        <v/>
      </c>
      <c r="J93" s="350" t="n">
        <v>46136</v>
      </c>
      <c r="L93" s="128" t="inlineStr">
        <is>
          <t>2589318.IB</t>
        </is>
      </c>
      <c r="M93" s="743" t="n">
        <v>100</v>
      </c>
      <c r="N93" s="344" t="n">
        <v>46321</v>
      </c>
      <c r="O93" s="741" t="n"/>
    </row>
    <row r="94">
      <c r="B94" s="128" t="inlineStr">
        <is>
          <t>25邮盈惠泽9C</t>
        </is>
      </c>
      <c r="C94" s="128" t="inlineStr">
        <is>
          <t>国泰海通</t>
        </is>
      </c>
      <c r="D94" s="128" t="inlineStr">
        <is>
          <t>信用卡消费贷款</t>
        </is>
      </c>
      <c r="E94" s="349" t="n">
        <v>0.045</v>
      </c>
      <c r="F94" s="131" t="n">
        <v>45995</v>
      </c>
      <c r="G94" s="657" t="n">
        <v>147000</v>
      </c>
      <c r="H94" s="657" t="n">
        <v>130000</v>
      </c>
      <c r="I94" s="657" t="n">
        <v>1338.456</v>
      </c>
      <c r="L94" s="128" t="inlineStr">
        <is>
          <t>2589451.IB</t>
        </is>
      </c>
      <c r="M94" s="743" t="n">
        <v>100</v>
      </c>
      <c r="N94" s="344" t="n">
        <v>46199</v>
      </c>
      <c r="O94" s="741" t="n"/>
    </row>
    <row r="95">
      <c r="B95" s="128" t="inlineStr">
        <is>
          <t>25建欣17C</t>
        </is>
      </c>
      <c r="C95" s="128" t="inlineStr">
        <is>
          <t>国泰海通</t>
        </is>
      </c>
      <c r="D95" s="128" t="inlineStr">
        <is>
          <t>信用卡消费贷款</t>
        </is>
      </c>
      <c r="E95" s="349" t="n">
        <v>0.045</v>
      </c>
      <c r="F95" s="131" t="n">
        <v>46007</v>
      </c>
      <c r="G95" s="657" t="n">
        <v>46200</v>
      </c>
      <c r="H95" s="657" t="n">
        <v>23100</v>
      </c>
      <c r="I95" s="745" t="n">
        <v>239.3391</v>
      </c>
      <c r="J95" s="350" t="n">
        <v>46037</v>
      </c>
      <c r="K95" s="128" t="inlineStr">
        <is>
          <t>0726开始兑付本金</t>
        </is>
      </c>
      <c r="L95" s="128" t="inlineStr">
        <is>
          <t>2589507.IB</t>
        </is>
      </c>
      <c r="M95" s="743" t="n">
        <v>100</v>
      </c>
      <c r="N95" s="344" t="n">
        <v>46229</v>
      </c>
      <c r="O95" s="741" t="n"/>
    </row>
    <row r="96">
      <c r="B96" s="128" t="inlineStr">
        <is>
          <t>25浦鑫归航8C</t>
        </is>
      </c>
      <c r="C96" s="128" t="inlineStr">
        <is>
          <t>国泰海通</t>
        </is>
      </c>
      <c r="D96" s="128" t="inlineStr">
        <is>
          <t>信用卡消费贷款</t>
        </is>
      </c>
      <c r="E96" s="349" t="n">
        <v>0.045</v>
      </c>
      <c r="F96" s="131" t="n">
        <v>46013</v>
      </c>
      <c r="G96" s="657" t="n">
        <v>50000</v>
      </c>
      <c r="H96" s="657" t="n">
        <v>50000</v>
      </c>
      <c r="I96" s="657" t="n">
        <v>500</v>
      </c>
      <c r="L96" s="128" t="inlineStr">
        <is>
          <t>2589511.IB</t>
        </is>
      </c>
      <c r="M96" s="743" t="n">
        <v>100</v>
      </c>
      <c r="N96" s="344" t="n">
        <v>46168</v>
      </c>
      <c r="O96" s="741" t="n"/>
    </row>
    <row r="97">
      <c r="B97" s="128" t="inlineStr">
        <is>
          <t>25工元至诚普银7C</t>
        </is>
      </c>
      <c r="C97" s="128" t="inlineStr">
        <is>
          <t>国泰海通</t>
        </is>
      </c>
      <c r="D97" s="128" t="inlineStr">
        <is>
          <t>信用卡消费贷款</t>
        </is>
      </c>
      <c r="E97" s="349" t="n">
        <v>0.045</v>
      </c>
      <c r="F97" s="131" t="n">
        <v>46013</v>
      </c>
      <c r="G97" s="657" t="n">
        <v>10000</v>
      </c>
      <c r="H97" s="657" t="n">
        <v>10000</v>
      </c>
      <c r="I97" s="657" t="n">
        <v>105</v>
      </c>
      <c r="L97" s="128" t="inlineStr">
        <is>
          <t>2589499.IB</t>
        </is>
      </c>
      <c r="M97" s="743" t="n">
        <v>100</v>
      </c>
      <c r="N97" s="344" t="n">
        <v>46199</v>
      </c>
      <c r="O97" s="741" t="n"/>
    </row>
    <row r="98">
      <c r="B98" s="128" t="inlineStr">
        <is>
          <t>25工元至诚惠银5C</t>
        </is>
      </c>
      <c r="C98" s="128" t="inlineStr">
        <is>
          <t>国泰海通</t>
        </is>
      </c>
      <c r="D98" s="128" t="inlineStr">
        <is>
          <t>一般消费贷款</t>
        </is>
      </c>
      <c r="E98" s="349" t="n">
        <v>0.045</v>
      </c>
      <c r="F98" s="131" t="n">
        <v>46015</v>
      </c>
      <c r="G98" s="657" t="n">
        <v>10000</v>
      </c>
      <c r="H98" s="657" t="n">
        <v>10000</v>
      </c>
      <c r="I98" s="745" t="n">
        <v>105</v>
      </c>
      <c r="J98" s="350" t="n"/>
      <c r="K98" s="128" t="inlineStr">
        <is>
          <t>0726开始兑付本金</t>
        </is>
      </c>
      <c r="L98" s="128" t="inlineStr">
        <is>
          <t>2589521.IB</t>
        </is>
      </c>
      <c r="M98" s="743" t="n">
        <v>100</v>
      </c>
      <c r="N98" s="344" t="n">
        <v>46229</v>
      </c>
      <c r="O98" s="741" t="n"/>
    </row>
    <row r="99">
      <c r="B99" s="128" t="inlineStr">
        <is>
          <t>26工元至诚惠银1C</t>
        </is>
      </c>
      <c r="C99" s="128" t="inlineStr">
        <is>
          <t>国泰海通</t>
        </is>
      </c>
      <c r="D99" s="128" t="inlineStr">
        <is>
          <t>信用卡消费贷款</t>
        </is>
      </c>
      <c r="E99" s="372" t="n">
        <v>0.04</v>
      </c>
      <c r="F99" s="131" t="n">
        <v>46107</v>
      </c>
      <c r="G99" s="657" t="n">
        <v>70000</v>
      </c>
      <c r="H99" s="657" t="n">
        <v>70000</v>
      </c>
      <c r="I99" s="657">
        <f>700*1.08</f>
        <v/>
      </c>
      <c r="J99" s="350" t="n"/>
      <c r="L99" s="128" t="inlineStr">
        <is>
          <t>2689016.IB</t>
        </is>
      </c>
      <c r="M99" s="743" t="n"/>
      <c r="N99" s="344" t="n">
        <v>46199</v>
      </c>
      <c r="O99" s="741" t="n"/>
    </row>
    <row r="100">
      <c r="B100" s="128" t="inlineStr">
        <is>
          <t>26工元至诚惠银2C</t>
        </is>
      </c>
      <c r="C100" s="128" t="inlineStr">
        <is>
          <t>国泰海通</t>
        </is>
      </c>
      <c r="D100" s="128" t="inlineStr">
        <is>
          <t>住房抵押贷款</t>
        </is>
      </c>
      <c r="E100" s="372" t="n">
        <v>0.04</v>
      </c>
      <c r="F100" s="131" t="n">
        <v>46108</v>
      </c>
      <c r="G100" s="657" t="n">
        <v>100000</v>
      </c>
      <c r="H100" s="657" t="n">
        <v>100000</v>
      </c>
      <c r="I100" s="657" t="n">
        <v>1000</v>
      </c>
      <c r="J100" s="350" t="n"/>
      <c r="L100" s="128" t="inlineStr">
        <is>
          <t>2689018.IB</t>
        </is>
      </c>
      <c r="M100" s="743" t="n"/>
      <c r="N100" s="344" t="n">
        <v>46229</v>
      </c>
      <c r="O100" s="741" t="n"/>
    </row>
    <row r="101">
      <c r="B101" s="128" t="inlineStr">
        <is>
          <t>26福鑫3C</t>
        </is>
      </c>
      <c r="C101" s="128" t="inlineStr">
        <is>
          <t>国泰海通</t>
        </is>
      </c>
      <c r="D101" s="128" t="inlineStr">
        <is>
          <t>信用卡消费贷款</t>
        </is>
      </c>
      <c r="E101" s="372" t="n">
        <v>0.04</v>
      </c>
      <c r="F101" s="131" t="n">
        <v>46107</v>
      </c>
      <c r="G101" s="657" t="n">
        <v>20000</v>
      </c>
      <c r="H101" s="657" t="n">
        <v>20000</v>
      </c>
      <c r="I101" s="657" t="n">
        <v>200</v>
      </c>
      <c r="J101" s="350" t="n"/>
      <c r="L101" s="128" t="inlineStr">
        <is>
          <t>2689032.IB</t>
        </is>
      </c>
      <c r="M101" s="743" t="n"/>
      <c r="N101" s="344" t="n">
        <v>46229</v>
      </c>
      <c r="O101" s="741" t="n"/>
    </row>
    <row r="102">
      <c r="B102" s="128" t="inlineStr">
        <is>
          <t>26惠元2C</t>
        </is>
      </c>
      <c r="C102" s="128" t="inlineStr">
        <is>
          <t>国泰海通</t>
        </is>
      </c>
      <c r="D102" s="128" t="inlineStr">
        <is>
          <t>信用卡消费贷款</t>
        </is>
      </c>
      <c r="E102" s="372" t="n">
        <v>0.04</v>
      </c>
      <c r="F102" s="131" t="n">
        <v>46107</v>
      </c>
      <c r="G102" s="657" t="n">
        <v>40000</v>
      </c>
      <c r="H102" s="657" t="n">
        <v>40000</v>
      </c>
      <c r="I102" s="657">
        <f>400*1.06</f>
        <v/>
      </c>
      <c r="J102" s="350" t="n"/>
      <c r="L102" s="128" t="inlineStr">
        <is>
          <t>2689042.IB</t>
        </is>
      </c>
      <c r="M102" s="743" t="n"/>
      <c r="N102" s="344" t="n">
        <v>46162</v>
      </c>
      <c r="O102" s="741" t="n"/>
    </row>
    <row r="103">
      <c r="B103" s="128" t="inlineStr">
        <is>
          <t>26浦鑫归航1C</t>
        </is>
      </c>
      <c r="C103" s="128" t="inlineStr">
        <is>
          <t>国泰海通</t>
        </is>
      </c>
      <c r="D103" s="128" t="inlineStr">
        <is>
          <t>信用卡消费贷款</t>
        </is>
      </c>
      <c r="E103" s="372" t="n">
        <v>0.04</v>
      </c>
      <c r="F103" s="131" t="n">
        <v>46108</v>
      </c>
      <c r="G103" s="657" t="n">
        <v>200000</v>
      </c>
      <c r="H103" s="657" t="n">
        <v>200000</v>
      </c>
      <c r="I103" s="657" t="n">
        <v>2000</v>
      </c>
      <c r="J103" s="350" t="n"/>
      <c r="L103" s="128" t="inlineStr">
        <is>
          <t>2689054.IB</t>
        </is>
      </c>
      <c r="M103" s="743" t="n"/>
      <c r="N103" s="344" t="n">
        <v>46168</v>
      </c>
      <c r="O103" s="741" t="n"/>
    </row>
    <row r="104">
      <c r="B104" s="128" t="inlineStr">
        <is>
          <t>26浦鑫归航2C</t>
        </is>
      </c>
      <c r="C104" s="128" t="inlineStr">
        <is>
          <t>国泰海通</t>
        </is>
      </c>
      <c r="D104" s="128" t="inlineStr">
        <is>
          <t>住房抵押贷款</t>
        </is>
      </c>
      <c r="E104" s="372" t="n">
        <v>0.04</v>
      </c>
      <c r="F104" s="131" t="n">
        <v>46108</v>
      </c>
      <c r="G104" s="657" t="n">
        <v>90000</v>
      </c>
      <c r="H104" s="657" t="n">
        <v>90000</v>
      </c>
      <c r="I104" s="657" t="n">
        <v>900</v>
      </c>
      <c r="J104" s="350" t="n"/>
      <c r="L104" s="128" t="inlineStr">
        <is>
          <t>2689056.IB</t>
        </is>
      </c>
      <c r="M104" s="743" t="n"/>
      <c r="N104" s="344" t="n">
        <v>46168</v>
      </c>
      <c r="O104" s="741" t="n"/>
    </row>
    <row r="105">
      <c r="B105" s="128" t="inlineStr">
        <is>
          <t>26臻金1C</t>
        </is>
      </c>
      <c r="C105" s="128" t="inlineStr">
        <is>
          <t>国泰海通</t>
        </is>
      </c>
      <c r="D105" s="128" t="inlineStr">
        <is>
          <t>微小企业贷款</t>
        </is>
      </c>
      <c r="E105" s="372" t="n">
        <v>0.04</v>
      </c>
      <c r="F105" s="131" t="n">
        <v>46135</v>
      </c>
      <c r="G105" s="657" t="n">
        <v>66000</v>
      </c>
      <c r="H105" s="657">
        <f>+G105*1.02</f>
        <v/>
      </c>
      <c r="I105" s="657" t="n">
        <v>673.2</v>
      </c>
      <c r="J105" s="350" t="n"/>
      <c r="L105" s="128" t="inlineStr">
        <is>
          <t>2689066.IB</t>
        </is>
      </c>
      <c r="M105" s="743" t="n"/>
      <c r="N105" s="344" t="n">
        <v>46321</v>
      </c>
      <c r="O105" s="741" t="n"/>
    </row>
    <row r="106">
      <c r="B106" s="128" t="inlineStr">
        <is>
          <t>26中誉至诚1C</t>
        </is>
      </c>
      <c r="C106" s="128" t="inlineStr">
        <is>
          <t>国泰海通</t>
        </is>
      </c>
      <c r="D106" s="128" t="inlineStr">
        <is>
          <t>个人经营贷款</t>
        </is>
      </c>
      <c r="E106" s="349" t="n">
        <v>0.04</v>
      </c>
      <c r="F106" s="131" t="n">
        <v>46112</v>
      </c>
      <c r="G106" s="657" t="n">
        <v>120000</v>
      </c>
      <c r="H106" s="657" t="n">
        <v>120000</v>
      </c>
      <c r="I106" s="657" t="n">
        <v>1200</v>
      </c>
      <c r="J106" s="350" t="n"/>
      <c r="L106" s="128" t="inlineStr">
        <is>
          <t>2689056.IB</t>
        </is>
      </c>
      <c r="M106" s="743" t="n"/>
      <c r="N106" s="344" t="n">
        <v>46321</v>
      </c>
      <c r="O106" s="741" t="n"/>
    </row>
    <row r="107">
      <c r="B107" s="128" t="inlineStr">
        <is>
          <t>26臻金2C</t>
        </is>
      </c>
      <c r="C107" s="128" t="inlineStr">
        <is>
          <t>国泰海通</t>
        </is>
      </c>
      <c r="D107" s="128" t="inlineStr">
        <is>
          <t>住房抵押贷款</t>
        </is>
      </c>
      <c r="E107" s="349" t="n">
        <v>0.04</v>
      </c>
      <c r="F107" s="131" t="n">
        <v>46161</v>
      </c>
      <c r="G107" s="657" t="n">
        <v>60000</v>
      </c>
      <c r="H107" s="657">
        <f>G107*1.02</f>
        <v/>
      </c>
      <c r="I107" s="657" t="n">
        <v>612</v>
      </c>
      <c r="J107" s="350" t="n"/>
      <c r="L107" s="128" t="inlineStr">
        <is>
          <t>2689090.IB</t>
        </is>
      </c>
      <c r="M107" s="743" t="n"/>
      <c r="N107" s="344" t="n"/>
      <c r="O107" s="741" t="n"/>
    </row>
    <row r="108">
      <c r="B108" s="128" t="inlineStr">
        <is>
          <t>26建欣3C</t>
        </is>
      </c>
      <c r="C108" s="128" t="inlineStr">
        <is>
          <t>国泰海通</t>
        </is>
      </c>
      <c r="D108" s="128" t="inlineStr">
        <is>
          <t>住房抵押贷款</t>
        </is>
      </c>
      <c r="E108" s="349" t="n">
        <v>0.04</v>
      </c>
      <c r="F108" s="131" t="n">
        <v>46161</v>
      </c>
      <c r="G108" s="657" t="n">
        <v>100000</v>
      </c>
      <c r="H108" s="657" t="n">
        <v>100000</v>
      </c>
      <c r="I108" s="657" t="n">
        <v>1000</v>
      </c>
      <c r="J108" s="350" t="n"/>
      <c r="M108" s="743" t="n"/>
      <c r="N108" s="344" t="n"/>
      <c r="O108" s="741" t="n"/>
    </row>
    <row r="109">
      <c r="E109" s="349" t="n"/>
      <c r="G109" s="657" t="n"/>
      <c r="H109" s="657" t="n"/>
      <c r="I109" s="657" t="n"/>
      <c r="J109" s="350" t="n"/>
      <c r="M109" s="743" t="n"/>
      <c r="N109" s="344" t="n"/>
      <c r="O109" s="741" t="n"/>
    </row>
    <row r="110">
      <c r="E110" s="349" t="n"/>
      <c r="G110" s="657" t="n"/>
      <c r="H110" s="657" t="n"/>
      <c r="I110" s="657" t="n"/>
      <c r="J110" s="350" t="n"/>
      <c r="M110" s="743" t="n"/>
      <c r="N110" s="344" t="n"/>
      <c r="O110" s="741" t="n"/>
    </row>
    <row r="111" customFormat="1" s="360">
      <c r="B111" s="360" t="inlineStr">
        <is>
          <t>20建鑫3C</t>
        </is>
      </c>
      <c r="C111" s="360" t="inlineStr">
        <is>
          <t>中信建投</t>
        </is>
      </c>
      <c r="D111" s="360" t="inlineStr">
        <is>
          <t>住房抵押贷款</t>
        </is>
      </c>
      <c r="E111" s="361" t="n"/>
      <c r="F111" s="362" t="n">
        <v>44676</v>
      </c>
      <c r="G111" s="747" t="n">
        <v>1250000</v>
      </c>
      <c r="H111" s="747" t="n">
        <v>0</v>
      </c>
      <c r="I111" s="747" t="n">
        <v>0</v>
      </c>
      <c r="J111" s="364" t="n">
        <v>45296</v>
      </c>
      <c r="L111" s="360" t="inlineStr">
        <is>
          <t>2089144.IB</t>
        </is>
      </c>
      <c r="M111" s="748" t="n"/>
    </row>
    <row r="112">
      <c r="B112" s="128" t="inlineStr">
        <is>
          <t>22建鑫6C</t>
        </is>
      </c>
      <c r="C112" s="128" t="inlineStr">
        <is>
          <t>中信建投</t>
        </is>
      </c>
      <c r="D112" s="128" t="inlineStr">
        <is>
          <t>信用卡消费贷款</t>
        </is>
      </c>
      <c r="F112" s="131" t="n">
        <v>44826</v>
      </c>
      <c r="G112" s="657" t="n">
        <v>24100</v>
      </c>
      <c r="H112" s="657" t="n">
        <v>0</v>
      </c>
      <c r="I112" s="657" t="n">
        <v>0</v>
      </c>
      <c r="J112" s="350" t="n">
        <v>45106</v>
      </c>
      <c r="L112" s="128" t="inlineStr">
        <is>
          <t>2289261.IB</t>
        </is>
      </c>
      <c r="M112" s="743" t="n"/>
    </row>
    <row r="113">
      <c r="B113" s="128" t="inlineStr">
        <is>
          <t>22建鑫9C</t>
        </is>
      </c>
      <c r="C113" s="128" t="inlineStr">
        <is>
          <t>中信建投</t>
        </is>
      </c>
      <c r="D113" s="128" t="inlineStr">
        <is>
          <t>住房抵押贷款</t>
        </is>
      </c>
      <c r="F113" s="131" t="n">
        <v>44930</v>
      </c>
      <c r="G113" s="657" t="n">
        <v>29500</v>
      </c>
      <c r="H113" s="657" t="n">
        <v>0</v>
      </c>
      <c r="I113" s="657" t="n">
        <v>0</v>
      </c>
      <c r="J113" s="350" t="n">
        <v>45469</v>
      </c>
      <c r="L113" s="128" t="inlineStr">
        <is>
          <t>2289384.IB</t>
        </is>
      </c>
      <c r="M113" s="743" t="n">
        <v>100</v>
      </c>
    </row>
    <row r="114">
      <c r="B114" s="128" t="inlineStr">
        <is>
          <t>22浦鑫归航3C</t>
        </is>
      </c>
      <c r="C114" s="128" t="inlineStr">
        <is>
          <t>中信建投</t>
        </is>
      </c>
      <c r="D114" s="128" t="inlineStr">
        <is>
          <t>信用卡消费贷款</t>
        </is>
      </c>
      <c r="F114" s="131" t="n">
        <v>44831</v>
      </c>
      <c r="G114" s="657" t="n">
        <v>150000</v>
      </c>
      <c r="H114" s="657" t="n">
        <v>0</v>
      </c>
      <c r="I114" s="657" t="n">
        <v>0</v>
      </c>
      <c r="J114" s="350" t="n">
        <v>45035</v>
      </c>
      <c r="L114" s="128" t="inlineStr">
        <is>
          <t>2289273.IB</t>
        </is>
      </c>
      <c r="M114" s="743" t="n"/>
    </row>
    <row r="115">
      <c r="B115" s="128" t="inlineStr">
        <is>
          <t>22浦鑫归航4C</t>
        </is>
      </c>
      <c r="C115" s="128" t="inlineStr">
        <is>
          <t>中信建投</t>
        </is>
      </c>
      <c r="D115" s="128" t="inlineStr">
        <is>
          <t>信用卡消费贷款</t>
        </is>
      </c>
      <c r="F115" s="131" t="n">
        <v>44915</v>
      </c>
      <c r="G115" s="657" t="n">
        <v>25000</v>
      </c>
      <c r="H115" s="657" t="n">
        <v>0</v>
      </c>
      <c r="I115" s="657" t="n">
        <v>0</v>
      </c>
      <c r="J115" s="350" t="n">
        <v>45093</v>
      </c>
      <c r="L115" s="128" t="inlineStr">
        <is>
          <t>2289380.IB</t>
        </is>
      </c>
      <c r="M115" s="743" t="n"/>
    </row>
    <row r="116">
      <c r="B116" s="128" t="inlineStr">
        <is>
          <t>22浦鑫归航5C</t>
        </is>
      </c>
      <c r="C116" s="128" t="inlineStr">
        <is>
          <t>中信建投</t>
        </is>
      </c>
      <c r="D116" s="128" t="inlineStr">
        <is>
          <t>信用卡消费贷款</t>
        </is>
      </c>
      <c r="F116" s="131" t="n">
        <v>44918</v>
      </c>
      <c r="G116" s="657" t="n">
        <v>7000</v>
      </c>
      <c r="H116" s="657" t="n">
        <v>0</v>
      </c>
      <c r="I116" s="657" t="n">
        <v>0</v>
      </c>
      <c r="J116" s="350" t="n">
        <v>45093</v>
      </c>
      <c r="L116" s="128" t="inlineStr">
        <is>
          <t>2289382.IB</t>
        </is>
      </c>
      <c r="M116" s="743" t="n"/>
    </row>
    <row r="117">
      <c r="B117" s="128" t="inlineStr">
        <is>
          <t>22臻金2C</t>
        </is>
      </c>
      <c r="C117" s="128" t="inlineStr">
        <is>
          <t>中信建投</t>
        </is>
      </c>
      <c r="D117" s="128" t="inlineStr">
        <is>
          <t>微小企业贷款</t>
        </is>
      </c>
      <c r="F117" s="131" t="n">
        <v>44827</v>
      </c>
      <c r="G117" s="657" t="n">
        <v>51000</v>
      </c>
      <c r="H117" s="657" t="n">
        <v>0</v>
      </c>
      <c r="I117" s="657" t="n">
        <v>0</v>
      </c>
      <c r="J117" s="350" t="n">
        <v>45469</v>
      </c>
      <c r="L117" s="128" t="inlineStr">
        <is>
          <t>2289237.IB</t>
        </is>
      </c>
      <c r="M117" s="743" t="n">
        <v>10.44</v>
      </c>
    </row>
    <row r="118">
      <c r="B118" s="128" t="inlineStr">
        <is>
          <t>23建鑫11C</t>
        </is>
      </c>
      <c r="C118" s="128" t="inlineStr">
        <is>
          <t>中信建投</t>
        </is>
      </c>
      <c r="D118" s="128" t="inlineStr">
        <is>
          <t>微小企业贷款</t>
        </is>
      </c>
      <c r="F118" s="131" t="n">
        <v>45279</v>
      </c>
      <c r="G118" s="657" t="n">
        <v>31900</v>
      </c>
      <c r="H118" s="657" t="n">
        <v>0</v>
      </c>
      <c r="I118" s="657" t="n">
        <v>0</v>
      </c>
      <c r="J118" s="350" t="n">
        <v>45296</v>
      </c>
      <c r="L118" s="128" t="inlineStr">
        <is>
          <t>2389458.IB</t>
        </is>
      </c>
      <c r="M118" s="743" t="n"/>
    </row>
    <row r="119">
      <c r="B119" s="128" t="inlineStr">
        <is>
          <t>23浦鑫归航1C</t>
        </is>
      </c>
      <c r="C119" s="128" t="inlineStr">
        <is>
          <t>中信建投</t>
        </is>
      </c>
      <c r="D119" s="128" t="inlineStr">
        <is>
          <t>信用卡消费贷款</t>
        </is>
      </c>
      <c r="F119" s="131" t="n">
        <v>45015</v>
      </c>
      <c r="G119" s="657" t="n">
        <v>20000</v>
      </c>
      <c r="H119" s="657" t="n">
        <v>0</v>
      </c>
      <c r="I119" s="657" t="n">
        <v>0</v>
      </c>
      <c r="J119" s="350" t="n">
        <v>45020</v>
      </c>
      <c r="L119" s="128" t="inlineStr">
        <is>
          <t>2389076.IB</t>
        </is>
      </c>
      <c r="M119" s="743" t="n"/>
    </row>
    <row r="120">
      <c r="B120" s="128" t="inlineStr">
        <is>
          <t>23浦鑫归航4C</t>
        </is>
      </c>
      <c r="C120" s="128" t="inlineStr">
        <is>
          <t>中信建投</t>
        </is>
      </c>
      <c r="D120" s="128" t="inlineStr">
        <is>
          <t>信用卡消费贷款</t>
        </is>
      </c>
      <c r="F120" s="131" t="n">
        <v>45196</v>
      </c>
      <c r="G120" s="657" t="n">
        <v>20000</v>
      </c>
      <c r="H120" s="657" t="n">
        <v>0</v>
      </c>
      <c r="I120" s="657" t="n">
        <v>0</v>
      </c>
      <c r="J120" s="350" t="n">
        <v>45209</v>
      </c>
      <c r="L120" s="128" t="inlineStr">
        <is>
          <t>2389353.IB</t>
        </is>
      </c>
      <c r="M120" s="743" t="n"/>
    </row>
    <row r="121">
      <c r="B121" s="128" t="inlineStr">
        <is>
          <t>23臻金1C</t>
        </is>
      </c>
      <c r="C121" s="128" t="inlineStr">
        <is>
          <t>中信建投</t>
        </is>
      </c>
      <c r="D121" s="128" t="inlineStr">
        <is>
          <t>微小企业贷款</t>
        </is>
      </c>
      <c r="F121" s="131" t="n">
        <v>45013</v>
      </c>
      <c r="G121" s="657" t="n">
        <v>31500</v>
      </c>
      <c r="H121" s="657" t="n">
        <v>0</v>
      </c>
      <c r="I121" s="657" t="n">
        <v>0</v>
      </c>
      <c r="J121" s="350" t="n">
        <v>45469</v>
      </c>
      <c r="L121" s="128" t="inlineStr">
        <is>
          <t>2389043.IB</t>
        </is>
      </c>
      <c r="M121" s="743" t="n">
        <v>86.79000000000001</v>
      </c>
    </row>
    <row r="122">
      <c r="B122" s="128" t="inlineStr">
        <is>
          <t>23中誉3C</t>
        </is>
      </c>
      <c r="C122" s="128" t="inlineStr">
        <is>
          <t>中信建投</t>
        </is>
      </c>
      <c r="D122" s="128" t="inlineStr">
        <is>
          <t>个人汽车贷款</t>
        </is>
      </c>
      <c r="F122" s="131" t="n">
        <v>45036</v>
      </c>
      <c r="G122" s="657" t="n">
        <v>17600</v>
      </c>
      <c r="H122" s="657" t="n">
        <v>0</v>
      </c>
      <c r="I122" s="657" t="n">
        <v>0</v>
      </c>
      <c r="J122" s="350" t="n">
        <v>45042</v>
      </c>
      <c r="L122" s="128" t="inlineStr">
        <is>
          <t>2389105.IB</t>
        </is>
      </c>
      <c r="M122" s="743" t="n"/>
    </row>
    <row r="123">
      <c r="B123" s="128" t="inlineStr">
        <is>
          <t>23中誉至诚3C</t>
        </is>
      </c>
      <c r="C123" s="128" t="inlineStr">
        <is>
          <t>中信建投</t>
        </is>
      </c>
      <c r="D123" s="128" t="inlineStr">
        <is>
          <t>信用卡消费贷款</t>
        </is>
      </c>
      <c r="F123" s="131" t="n">
        <v>45259</v>
      </c>
      <c r="G123" s="657" t="n">
        <v>12300</v>
      </c>
      <c r="H123" s="657" t="n">
        <v>0</v>
      </c>
      <c r="I123" s="657" t="n">
        <v>0</v>
      </c>
      <c r="J123" s="350" t="n">
        <v>45272</v>
      </c>
      <c r="L123" s="128" t="inlineStr">
        <is>
          <t>2389428.IB</t>
        </is>
      </c>
      <c r="M123" s="743" t="n"/>
    </row>
    <row r="124">
      <c r="B124" s="128" t="inlineStr">
        <is>
          <t>23中誉至诚4C</t>
        </is>
      </c>
      <c r="C124" s="128" t="inlineStr">
        <is>
          <t>中信建投</t>
        </is>
      </c>
      <c r="D124" s="128" t="inlineStr">
        <is>
          <t>一般消费贷款</t>
        </is>
      </c>
      <c r="F124" s="131" t="n">
        <v>45266</v>
      </c>
      <c r="G124" s="657" t="n">
        <v>13600</v>
      </c>
      <c r="H124" s="657" t="n">
        <v>0</v>
      </c>
      <c r="I124" s="657" t="n">
        <v>0</v>
      </c>
      <c r="J124" s="350" t="n">
        <v>45272</v>
      </c>
      <c r="L124" s="128" t="inlineStr">
        <is>
          <t>2389432.IB</t>
        </is>
      </c>
      <c r="M124" s="743" t="n"/>
    </row>
    <row r="125">
      <c r="B125" s="128" t="inlineStr">
        <is>
          <t>24建欣1C</t>
        </is>
      </c>
      <c r="C125" s="128" t="inlineStr">
        <is>
          <t>中信建投</t>
        </is>
      </c>
      <c r="D125" s="128" t="inlineStr">
        <is>
          <t>信用卡消费贷款</t>
        </is>
      </c>
      <c r="F125" s="131" t="n">
        <v>45400</v>
      </c>
      <c r="G125" s="657" t="n">
        <v>55000</v>
      </c>
      <c r="H125" s="657" t="n">
        <v>0</v>
      </c>
      <c r="I125" s="657" t="n">
        <v>0</v>
      </c>
      <c r="J125" s="350" t="n">
        <v>45469</v>
      </c>
      <c r="L125" s="128" t="inlineStr">
        <is>
          <t>2489082.IB</t>
        </is>
      </c>
      <c r="M125" s="743" t="n">
        <v>49.15</v>
      </c>
    </row>
    <row r="126">
      <c r="B126" s="128" t="inlineStr">
        <is>
          <t>24中誉至诚6C</t>
        </is>
      </c>
      <c r="C126" s="128" t="inlineStr">
        <is>
          <t>中信建投</t>
        </is>
      </c>
      <c r="D126" s="128" t="inlineStr">
        <is>
          <t>信用卡消费贷款</t>
        </is>
      </c>
      <c r="F126" s="131" t="n">
        <v>45562</v>
      </c>
      <c r="G126" s="657" t="n">
        <v>8500</v>
      </c>
      <c r="H126" s="657" t="n">
        <v>0</v>
      </c>
      <c r="I126" s="657" t="n">
        <v>0</v>
      </c>
      <c r="J126" s="350" t="n">
        <v>45593</v>
      </c>
      <c r="L126" s="128" t="inlineStr">
        <is>
          <t>2489288.IB</t>
        </is>
      </c>
      <c r="M126" s="743" t="n"/>
    </row>
    <row r="127">
      <c r="B127" s="128" t="inlineStr">
        <is>
          <t>25浦鑫归航1C</t>
        </is>
      </c>
      <c r="C127" s="128" t="inlineStr">
        <is>
          <t>中信建投</t>
        </is>
      </c>
      <c r="D127" s="128" t="inlineStr">
        <is>
          <t>信用卡消费贷款</t>
        </is>
      </c>
      <c r="F127" s="131" t="n">
        <v>45741</v>
      </c>
      <c r="G127" s="657" t="n">
        <v>10000</v>
      </c>
      <c r="H127" s="657" t="n">
        <v>0</v>
      </c>
      <c r="I127" s="657" t="n">
        <v>0</v>
      </c>
      <c r="J127" s="350" t="n">
        <v>45762</v>
      </c>
      <c r="L127" s="128" t="inlineStr">
        <is>
          <t>2589031.IB</t>
        </is>
      </c>
      <c r="M127" s="743" t="n">
        <v>100</v>
      </c>
    </row>
    <row r="128">
      <c r="B128" s="128" t="inlineStr">
        <is>
          <t>25建欣1C</t>
        </is>
      </c>
      <c r="C128" s="128" t="inlineStr">
        <is>
          <t>中信建投</t>
        </is>
      </c>
      <c r="D128" s="128" t="inlineStr">
        <is>
          <t>信用卡消费贷款</t>
        </is>
      </c>
      <c r="F128" s="131" t="n">
        <v>45742</v>
      </c>
      <c r="G128" s="657" t="n">
        <v>35800</v>
      </c>
      <c r="H128" s="657" t="n">
        <v>0</v>
      </c>
      <c r="I128" s="657" t="n">
        <v>0</v>
      </c>
      <c r="J128" s="350" t="n">
        <v>45762</v>
      </c>
      <c r="L128" s="128" t="inlineStr">
        <is>
          <t>2589057.IB</t>
        </is>
      </c>
      <c r="M128" s="743" t="n">
        <v>98.77</v>
      </c>
    </row>
    <row r="129">
      <c r="B129" s="128" t="inlineStr">
        <is>
          <t>25中誉至诚1C</t>
        </is>
      </c>
      <c r="C129" s="128" t="inlineStr">
        <is>
          <t>中信建投</t>
        </is>
      </c>
      <c r="D129" s="128" t="inlineStr">
        <is>
          <t>信用卡消费贷款</t>
        </is>
      </c>
      <c r="F129" s="131" t="n">
        <v>45740</v>
      </c>
      <c r="G129" s="657" t="n">
        <v>8000</v>
      </c>
      <c r="H129" s="657" t="n">
        <v>0</v>
      </c>
      <c r="I129" s="657" t="n">
        <v>0</v>
      </c>
      <c r="J129" s="350" t="n">
        <v>45762</v>
      </c>
      <c r="L129" s="128" t="inlineStr">
        <is>
          <t>2589012.IB</t>
        </is>
      </c>
      <c r="M129" s="743" t="n"/>
    </row>
    <row r="130">
      <c r="B130" s="128" t="inlineStr">
        <is>
          <t>24工元至诚4C</t>
        </is>
      </c>
      <c r="C130" s="128" t="inlineStr">
        <is>
          <t>中信建投</t>
        </is>
      </c>
      <c r="D130" s="128" t="inlineStr">
        <is>
          <t>信用卡消费贷款</t>
        </is>
      </c>
      <c r="F130" s="131" t="n">
        <v>45748</v>
      </c>
      <c r="G130" s="657" t="n">
        <v>100000</v>
      </c>
      <c r="H130" s="657" t="n">
        <v>0</v>
      </c>
      <c r="I130" s="657" t="n">
        <v>0</v>
      </c>
      <c r="J130" s="350" t="n">
        <v>45784</v>
      </c>
      <c r="L130" s="128" t="inlineStr">
        <is>
          <t>2489376.IB</t>
        </is>
      </c>
      <c r="M130" s="743" t="n">
        <v>100</v>
      </c>
    </row>
    <row r="131" customFormat="1" s="133">
      <c r="B131" s="133" t="inlineStr">
        <is>
          <t>25浦鑫归航4C</t>
        </is>
      </c>
      <c r="C131" s="133" t="inlineStr">
        <is>
          <t>中信建投</t>
        </is>
      </c>
      <c r="D131" s="133" t="inlineStr">
        <is>
          <t>信用卡消费贷款</t>
        </is>
      </c>
      <c r="E131" s="139" t="n"/>
      <c r="F131" s="134" t="n">
        <v>45833</v>
      </c>
      <c r="G131" s="749" t="n">
        <v>70000</v>
      </c>
      <c r="H131" s="749" t="n">
        <v>0</v>
      </c>
      <c r="I131" s="749" t="n">
        <v>0</v>
      </c>
      <c r="J131" s="144" t="n">
        <v>45856</v>
      </c>
      <c r="L131" s="133" t="inlineStr">
        <is>
          <t>2589208.IB</t>
        </is>
      </c>
      <c r="M131" s="743" t="n">
        <v>100</v>
      </c>
      <c r="N131" s="128" t="n"/>
      <c r="P131" s="128" t="n"/>
    </row>
    <row r="132">
      <c r="B132" s="128" t="inlineStr">
        <is>
          <t>24邮盈惠兴2C</t>
        </is>
      </c>
      <c r="C132" s="128" t="inlineStr">
        <is>
          <t>建投投顾</t>
        </is>
      </c>
      <c r="D132" s="128" t="inlineStr">
        <is>
          <t>一般消费贷款</t>
        </is>
      </c>
      <c r="E132" s="349" t="inlineStr">
        <is>
          <t>卞崟 4.5%</t>
        </is>
      </c>
      <c r="F132" s="131" t="n">
        <v>45397</v>
      </c>
      <c r="G132" s="657" t="n">
        <v>22000</v>
      </c>
      <c r="H132" s="657" t="n">
        <v>0</v>
      </c>
      <c r="I132" s="657" t="n">
        <v>0</v>
      </c>
      <c r="J132" s="350" t="n">
        <v>45477</v>
      </c>
      <c r="L132" s="128" t="inlineStr">
        <is>
          <t>2489080.IB</t>
        </is>
      </c>
      <c r="M132" s="743" t="n"/>
    </row>
    <row r="133">
      <c r="B133" s="128" t="inlineStr">
        <is>
          <t>25兴瑞10C</t>
        </is>
      </c>
      <c r="C133" s="128" t="inlineStr">
        <is>
          <t>建投投顾</t>
        </is>
      </c>
      <c r="D133" s="128" t="inlineStr">
        <is>
          <t>微小企业贷款</t>
        </is>
      </c>
      <c r="E133" s="349" t="inlineStr">
        <is>
          <t>卞崟 4.5%</t>
        </is>
      </c>
      <c r="F133" s="131" t="n">
        <v>45985</v>
      </c>
      <c r="G133" s="657" t="n">
        <v>70000</v>
      </c>
      <c r="H133" s="657" t="n">
        <v>700</v>
      </c>
      <c r="I133" s="657" t="n">
        <v>700</v>
      </c>
      <c r="L133" s="128" t="inlineStr">
        <is>
          <t>2589435.IB</t>
        </is>
      </c>
      <c r="M133" s="743" t="n">
        <v>100</v>
      </c>
      <c r="N133" s="344" t="n">
        <v>46291</v>
      </c>
    </row>
    <row r="134" customFormat="1" s="133">
      <c r="B134" s="133" t="inlineStr">
        <is>
          <t>25臻金4C</t>
        </is>
      </c>
      <c r="C134" s="133" t="inlineStr">
        <is>
          <t>建投投顾</t>
        </is>
      </c>
      <c r="D134" s="133" t="inlineStr">
        <is>
          <t>微小企业贷款</t>
        </is>
      </c>
      <c r="E134" s="139" t="inlineStr">
        <is>
          <t>卞崟 4.5%</t>
        </is>
      </c>
      <c r="F134" s="134" t="n">
        <v>45987</v>
      </c>
      <c r="G134" s="749" t="n">
        <v>100000</v>
      </c>
      <c r="H134" s="749" t="n">
        <v>1000</v>
      </c>
      <c r="I134" s="749" t="n">
        <v>1000</v>
      </c>
      <c r="J134" s="144" t="n"/>
      <c r="L134" s="133" t="inlineStr">
        <is>
          <t>2589445.IB</t>
        </is>
      </c>
      <c r="M134" s="743" t="n">
        <v>100</v>
      </c>
      <c r="N134" s="133" t="inlineStr">
        <is>
          <t>2026-07-26</t>
        </is>
      </c>
      <c r="P134" s="128" t="n"/>
    </row>
    <row r="135">
      <c r="B135" s="128" t="inlineStr">
        <is>
          <t>20建鑫3C</t>
        </is>
      </c>
      <c r="C135" s="128" t="inlineStr">
        <is>
          <t>银河证券</t>
        </is>
      </c>
      <c r="D135" s="128" t="inlineStr">
        <is>
          <t>住房抵押贷款</t>
        </is>
      </c>
      <c r="F135" s="131" t="n">
        <v>45063</v>
      </c>
      <c r="G135" s="657" t="n">
        <v>375000</v>
      </c>
      <c r="H135" s="657" t="n">
        <v>0</v>
      </c>
      <c r="I135" s="657" t="n">
        <v>0</v>
      </c>
      <c r="J135" s="350" t="n">
        <v>45184</v>
      </c>
      <c r="L135" s="128" t="inlineStr">
        <is>
          <t>2089144.IB</t>
        </is>
      </c>
      <c r="M135" s="743" t="n"/>
    </row>
    <row r="136">
      <c r="B136" s="128" t="inlineStr">
        <is>
          <t>23工元至诚2C</t>
        </is>
      </c>
      <c r="C136" s="128" t="inlineStr">
        <is>
          <t>银河证券</t>
        </is>
      </c>
      <c r="D136" s="128" t="inlineStr">
        <is>
          <t>信用卡消费贷款</t>
        </is>
      </c>
      <c r="F136" s="131" t="n">
        <v>45098</v>
      </c>
      <c r="G136" s="657" t="n">
        <v>100000</v>
      </c>
      <c r="H136" s="657" t="n">
        <v>0</v>
      </c>
      <c r="I136" s="657" t="n">
        <v>0</v>
      </c>
      <c r="J136" s="350" t="n">
        <v>45454</v>
      </c>
      <c r="L136" s="128" t="inlineStr">
        <is>
          <t>2389132.IB</t>
        </is>
      </c>
      <c r="M136" s="743" t="n"/>
    </row>
    <row r="137">
      <c r="B137" s="128" t="inlineStr">
        <is>
          <t>24邮盈惠兴4C</t>
        </is>
      </c>
      <c r="C137" s="128" t="inlineStr">
        <is>
          <t>银河证券</t>
        </is>
      </c>
      <c r="D137" s="128" t="inlineStr">
        <is>
          <t>信用卡消费贷款</t>
        </is>
      </c>
      <c r="F137" s="131" t="n">
        <v>45468</v>
      </c>
      <c r="G137" s="657" t="n">
        <v>50000</v>
      </c>
      <c r="H137" s="657" t="n">
        <v>0</v>
      </c>
      <c r="I137" s="657" t="n">
        <v>0</v>
      </c>
      <c r="J137" s="350" t="n">
        <v>45713</v>
      </c>
      <c r="L137" s="128" t="inlineStr">
        <is>
          <t>2489188.IB</t>
        </is>
      </c>
      <c r="M137" s="743" t="n"/>
    </row>
    <row r="138">
      <c r="B138" s="128" t="inlineStr">
        <is>
          <t>24中誉至诚2C</t>
        </is>
      </c>
      <c r="C138" s="128" t="inlineStr">
        <is>
          <t>银河证券</t>
        </is>
      </c>
      <c r="D138" s="128" t="inlineStr">
        <is>
          <t>一般消费贷款</t>
        </is>
      </c>
      <c r="F138" s="131" t="n">
        <v>45470</v>
      </c>
      <c r="G138" s="657" t="n">
        <v>20400</v>
      </c>
      <c r="H138" s="657" t="n">
        <v>0</v>
      </c>
      <c r="I138" s="657" t="n">
        <v>0</v>
      </c>
      <c r="J138" s="350" t="n">
        <v>45526</v>
      </c>
      <c r="L138" s="128" t="inlineStr">
        <is>
          <t>2489162.IB</t>
        </is>
      </c>
      <c r="M138" s="743" t="n">
        <v>3.83</v>
      </c>
    </row>
    <row r="139">
      <c r="B139" s="128" t="inlineStr">
        <is>
          <t>24建欣8C</t>
        </is>
      </c>
      <c r="C139" s="128" t="inlineStr">
        <is>
          <t>银河证券</t>
        </is>
      </c>
      <c r="D139" s="128" t="inlineStr">
        <is>
          <t>微小企业贷款</t>
        </is>
      </c>
      <c r="F139" s="131" t="n">
        <v>45531</v>
      </c>
      <c r="G139" s="657" t="n">
        <v>44700</v>
      </c>
      <c r="H139" s="657" t="n">
        <v>0</v>
      </c>
      <c r="I139" s="657" t="n">
        <v>0</v>
      </c>
      <c r="J139" s="350" t="n">
        <v>45698</v>
      </c>
      <c r="L139" s="128" t="inlineStr">
        <is>
          <t>2489235.IB</t>
        </is>
      </c>
      <c r="M139" s="743" t="n"/>
    </row>
    <row r="140">
      <c r="B140" s="128" t="inlineStr">
        <is>
          <t>25建欣8C</t>
        </is>
      </c>
      <c r="C140" s="128" t="inlineStr">
        <is>
          <t>银河证券</t>
        </is>
      </c>
      <c r="D140" s="128" t="inlineStr">
        <is>
          <t>信用卡消费贷款</t>
        </is>
      </c>
      <c r="E140" s="349" t="n">
        <v>0.05</v>
      </c>
      <c r="F140" s="131" t="n">
        <v>45853</v>
      </c>
      <c r="G140" s="657" t="n">
        <v>41700</v>
      </c>
      <c r="H140" s="657" t="n">
        <v>0</v>
      </c>
      <c r="I140" s="657" t="n">
        <v>0</v>
      </c>
      <c r="J140" s="350" t="n">
        <v>46052</v>
      </c>
      <c r="L140" s="128" t="inlineStr">
        <is>
          <t>2589233.IB</t>
        </is>
      </c>
      <c r="M140" s="743" t="n">
        <v>100</v>
      </c>
    </row>
    <row r="141">
      <c r="B141" s="128" t="inlineStr">
        <is>
          <t>24兴瑞8C</t>
        </is>
      </c>
      <c r="C141" s="128" t="inlineStr">
        <is>
          <t>银河证券</t>
        </is>
      </c>
      <c r="D141" s="128" t="inlineStr">
        <is>
          <t>信用卡消费贷款</t>
        </is>
      </c>
      <c r="F141" s="131" t="n">
        <v>45861</v>
      </c>
      <c r="G141" s="657" t="n">
        <v>48500</v>
      </c>
      <c r="H141" s="657" t="n">
        <v>0</v>
      </c>
      <c r="I141" s="657" t="n">
        <v>0</v>
      </c>
      <c r="J141" s="350" t="n">
        <v>45954</v>
      </c>
      <c r="L141" s="128" t="inlineStr">
        <is>
          <t>2489382.IB</t>
        </is>
      </c>
      <c r="M141" s="743" t="n"/>
    </row>
    <row r="142">
      <c r="B142" s="128" t="inlineStr">
        <is>
          <t>24邮盈惠兴5C</t>
        </is>
      </c>
      <c r="C142" s="128" t="inlineStr">
        <is>
          <t>银河证券</t>
        </is>
      </c>
      <c r="D142" s="128" t="inlineStr">
        <is>
          <t>微小企业贷款</t>
        </is>
      </c>
      <c r="E142" s="349" t="n">
        <v>0.05</v>
      </c>
      <c r="F142" s="131" t="n">
        <v>45862</v>
      </c>
      <c r="G142" s="657" t="n">
        <v>14000</v>
      </c>
      <c r="H142" s="657" t="n">
        <v>0</v>
      </c>
      <c r="I142" s="657" t="n">
        <v>0</v>
      </c>
      <c r="J142" s="350" t="n">
        <v>46041</v>
      </c>
      <c r="L142" s="128" t="inlineStr">
        <is>
          <t>2489255.IB</t>
        </is>
      </c>
      <c r="M142" s="743" t="n"/>
    </row>
    <row r="143">
      <c r="B143" s="128" t="inlineStr">
        <is>
          <t>25工元至诚普银3C</t>
        </is>
      </c>
      <c r="C143" s="128" t="inlineStr">
        <is>
          <t>银河证券</t>
        </is>
      </c>
      <c r="D143" s="128" t="inlineStr">
        <is>
          <t>微小企业贷款</t>
        </is>
      </c>
      <c r="E143" s="349" t="n">
        <v>0.05</v>
      </c>
      <c r="F143" s="131" t="n">
        <v>45973</v>
      </c>
      <c r="G143" s="657" t="n">
        <v>18200</v>
      </c>
      <c r="H143" s="657" t="n">
        <v>0</v>
      </c>
      <c r="I143" s="657" t="n">
        <v>0</v>
      </c>
      <c r="J143" s="350" t="n">
        <v>46057</v>
      </c>
      <c r="L143" s="128" t="inlineStr">
        <is>
          <t>2589168.IB</t>
        </is>
      </c>
      <c r="M143" s="743" t="n">
        <v>100</v>
      </c>
    </row>
    <row r="144">
      <c r="B144" s="246" t="inlineStr">
        <is>
          <t>24惠元8C</t>
        </is>
      </c>
      <c r="C144" s="128" t="inlineStr">
        <is>
          <t>银河证券</t>
        </is>
      </c>
      <c r="D144" s="128" t="inlineStr">
        <is>
          <t>信用卡消费贷款</t>
        </is>
      </c>
      <c r="E144" s="349" t="n">
        <v>0.05</v>
      </c>
      <c r="F144" s="131" t="n">
        <v>45986</v>
      </c>
      <c r="G144" s="657" t="n">
        <v>150000</v>
      </c>
      <c r="H144" s="657" t="n">
        <v>0</v>
      </c>
      <c r="I144" s="657" t="n">
        <v>0</v>
      </c>
      <c r="J144" s="350" t="n">
        <v>46057</v>
      </c>
      <c r="L144" s="128" t="inlineStr">
        <is>
          <t>2489337.IB</t>
        </is>
      </c>
      <c r="M144" s="743" t="n">
        <v>100</v>
      </c>
      <c r="N144" s="131" t="n"/>
    </row>
    <row r="145">
      <c r="B145" s="246" t="inlineStr">
        <is>
          <t>24工元至诚4C</t>
        </is>
      </c>
      <c r="C145" s="128" t="inlineStr">
        <is>
          <t>银河证券</t>
        </is>
      </c>
      <c r="D145" s="128" t="inlineStr">
        <is>
          <t>信用卡消费贷款</t>
        </is>
      </c>
      <c r="E145" s="349" t="n">
        <v>0.05</v>
      </c>
      <c r="F145" s="131" t="n">
        <v>45986</v>
      </c>
      <c r="G145" s="657" t="n">
        <v>100000</v>
      </c>
      <c r="H145" s="657" t="n">
        <v>0</v>
      </c>
      <c r="I145" s="657" t="n">
        <v>0</v>
      </c>
      <c r="J145" s="350" t="n">
        <v>46057</v>
      </c>
      <c r="L145" s="128" t="inlineStr">
        <is>
          <t>2489376.IB</t>
        </is>
      </c>
      <c r="M145" s="743" t="n">
        <v>100</v>
      </c>
    </row>
    <row r="146" customFormat="1" s="133">
      <c r="B146" s="133" t="inlineStr">
        <is>
          <t>25建欣1C</t>
        </is>
      </c>
      <c r="C146" s="133" t="inlineStr">
        <is>
          <t>银河证券</t>
        </is>
      </c>
      <c r="D146" s="133" t="inlineStr">
        <is>
          <t>信用卡消费贷款</t>
        </is>
      </c>
      <c r="E146" s="139" t="n">
        <v>0.05</v>
      </c>
      <c r="F146" s="134" t="n">
        <v>45986</v>
      </c>
      <c r="G146" s="749" t="n">
        <v>71600</v>
      </c>
      <c r="H146" s="749" t="n">
        <v>0</v>
      </c>
      <c r="I146" s="750" t="n">
        <v>0</v>
      </c>
      <c r="J146" s="144" t="n">
        <v>46113</v>
      </c>
      <c r="K146" s="133" t="inlineStr">
        <is>
          <t>0426兑付本金</t>
        </is>
      </c>
      <c r="L146" s="133" t="inlineStr">
        <is>
          <t>2589057.IB</t>
        </is>
      </c>
      <c r="M146" s="743" t="n"/>
      <c r="N146" s="128" t="n"/>
      <c r="P146" s="128" t="n"/>
    </row>
    <row r="147">
      <c r="B147" s="128" t="inlineStr">
        <is>
          <t>20建鑫3C</t>
        </is>
      </c>
      <c r="C147" s="128" t="inlineStr">
        <is>
          <t>信达证券</t>
        </is>
      </c>
      <c r="D147" s="128" t="inlineStr">
        <is>
          <t>住房抵押贷款</t>
        </is>
      </c>
      <c r="F147" s="131" t="n">
        <v>45063</v>
      </c>
      <c r="G147" s="657" t="n">
        <v>375000</v>
      </c>
      <c r="H147" s="657" t="n">
        <v>0</v>
      </c>
      <c r="I147" s="657" t="n">
        <v>0</v>
      </c>
      <c r="J147" s="350" t="n">
        <v>45120</v>
      </c>
      <c r="L147" s="128" t="inlineStr">
        <is>
          <t>2089144.IB</t>
        </is>
      </c>
      <c r="M147" s="743" t="n"/>
    </row>
    <row r="148">
      <c r="B148" s="128" t="inlineStr">
        <is>
          <t>24建欣3C</t>
        </is>
      </c>
      <c r="C148" s="128" t="inlineStr">
        <is>
          <t>信达证券</t>
        </is>
      </c>
      <c r="D148" s="128" t="inlineStr">
        <is>
          <t>一般消费贷款</t>
        </is>
      </c>
      <c r="F148" s="131" t="n">
        <v>45407</v>
      </c>
      <c r="G148" s="657" t="n">
        <v>47200</v>
      </c>
      <c r="H148" s="657" t="n">
        <v>0</v>
      </c>
      <c r="I148" s="657" t="n">
        <v>0</v>
      </c>
      <c r="J148" s="350" t="n">
        <v>45588</v>
      </c>
      <c r="L148" s="128" t="inlineStr">
        <is>
          <t>2489088.IB</t>
        </is>
      </c>
      <c r="M148" s="743" t="n"/>
    </row>
    <row r="149">
      <c r="B149" s="128" t="inlineStr">
        <is>
          <t>24建欣4C</t>
        </is>
      </c>
      <c r="C149" s="128" t="inlineStr">
        <is>
          <t>信达证券</t>
        </is>
      </c>
      <c r="D149" s="128" t="inlineStr">
        <is>
          <t>微小企业贷款</t>
        </is>
      </c>
      <c r="F149" s="131" t="n">
        <v>45407</v>
      </c>
      <c r="G149" s="657" t="n">
        <v>96000</v>
      </c>
      <c r="H149" s="657" t="n">
        <v>0</v>
      </c>
      <c r="I149" s="657" t="n">
        <v>0</v>
      </c>
      <c r="J149" s="350" t="n">
        <v>45498</v>
      </c>
      <c r="L149" s="128" t="inlineStr">
        <is>
          <t>2489090.IB</t>
        </is>
      </c>
      <c r="M149" s="743" t="n"/>
    </row>
    <row r="150">
      <c r="B150" s="128" t="inlineStr">
        <is>
          <t>25建欣1C</t>
        </is>
      </c>
      <c r="C150" s="128" t="inlineStr">
        <is>
          <t>信达证券</t>
        </is>
      </c>
      <c r="D150" s="128" t="inlineStr">
        <is>
          <t>信用卡消费贷款</t>
        </is>
      </c>
      <c r="F150" s="131" t="n">
        <v>45742</v>
      </c>
      <c r="G150" s="657" t="n">
        <v>71600</v>
      </c>
      <c r="H150" s="657" t="n">
        <v>0</v>
      </c>
      <c r="I150" s="657" t="n">
        <v>0</v>
      </c>
      <c r="J150" s="350" t="n">
        <v>45902</v>
      </c>
      <c r="L150" s="128" t="inlineStr">
        <is>
          <t>2589057.IB</t>
        </is>
      </c>
      <c r="M150" s="743" t="n">
        <v>98.77</v>
      </c>
    </row>
    <row r="151">
      <c r="B151" s="128" t="inlineStr">
        <is>
          <t>25建欣3C</t>
        </is>
      </c>
      <c r="C151" s="128" t="inlineStr">
        <is>
          <t>信达证券</t>
        </is>
      </c>
      <c r="D151" s="128" t="inlineStr">
        <is>
          <t>一般消费贷款</t>
        </is>
      </c>
      <c r="F151" s="131" t="n">
        <v>45785</v>
      </c>
      <c r="G151" s="657" t="n">
        <v>25000</v>
      </c>
      <c r="H151" s="657" t="n">
        <v>0</v>
      </c>
      <c r="I151" s="657" t="n">
        <v>0</v>
      </c>
      <c r="J151" s="350" t="n">
        <v>45902</v>
      </c>
      <c r="L151" s="128" t="inlineStr">
        <is>
          <t>2589100.IB</t>
        </is>
      </c>
      <c r="M151" s="743" t="n">
        <v>100</v>
      </c>
    </row>
    <row r="152">
      <c r="B152" s="128" t="inlineStr">
        <is>
          <t>25建欣3优先</t>
        </is>
      </c>
      <c r="C152" s="128" t="inlineStr">
        <is>
          <t>信达证券</t>
        </is>
      </c>
      <c r="D152" s="128" t="inlineStr">
        <is>
          <t>一般消费贷款</t>
        </is>
      </c>
      <c r="F152" s="131" t="n">
        <v>45785</v>
      </c>
      <c r="G152" s="657" t="n">
        <v>25000</v>
      </c>
      <c r="H152" s="657" t="n">
        <v>0</v>
      </c>
      <c r="I152" s="657" t="n">
        <v>0</v>
      </c>
      <c r="J152" s="350" t="n">
        <v>45789</v>
      </c>
      <c r="L152" s="128" t="inlineStr">
        <is>
          <t>2589099.IB</t>
        </is>
      </c>
      <c r="M152" s="743" t="n"/>
    </row>
    <row r="153">
      <c r="B153" s="128" t="inlineStr">
        <is>
          <t>25建欣4C</t>
        </is>
      </c>
      <c r="C153" s="128" t="inlineStr">
        <is>
          <t>信达证券</t>
        </is>
      </c>
      <c r="D153" s="128" t="inlineStr">
        <is>
          <t>微小企业贷款</t>
        </is>
      </c>
      <c r="F153" s="131" t="n">
        <v>45803</v>
      </c>
      <c r="G153" s="657" t="n">
        <v>153800</v>
      </c>
      <c r="H153" s="657" t="n">
        <v>0</v>
      </c>
      <c r="I153" s="657" t="n">
        <v>0</v>
      </c>
      <c r="J153" s="350" t="n">
        <v>45972</v>
      </c>
      <c r="L153" s="128" t="inlineStr">
        <is>
          <t>2589121.IB</t>
        </is>
      </c>
      <c r="M153" s="743" t="n">
        <v>100</v>
      </c>
    </row>
    <row r="154">
      <c r="B154" s="128" t="inlineStr">
        <is>
          <t>25建欣11C</t>
        </is>
      </c>
      <c r="C154" s="128" t="inlineStr">
        <is>
          <t>信达证券</t>
        </is>
      </c>
      <c r="D154" s="128" t="inlineStr">
        <is>
          <t>微小企业贷款</t>
        </is>
      </c>
      <c r="E154" s="349" t="n">
        <v>0.05</v>
      </c>
      <c r="F154" s="131" t="n">
        <v>45867</v>
      </c>
      <c r="G154" s="657" t="n">
        <v>73000</v>
      </c>
      <c r="H154" s="657" t="n">
        <v>0</v>
      </c>
      <c r="I154" s="657" t="n">
        <v>0</v>
      </c>
      <c r="J154" s="350" t="n">
        <v>46121</v>
      </c>
      <c r="L154" s="128" t="inlineStr">
        <is>
          <t>2589247.IB</t>
        </is>
      </c>
      <c r="M154" s="743" t="n"/>
    </row>
    <row r="155">
      <c r="B155" s="128" t="inlineStr">
        <is>
          <t>25建欣16C</t>
        </is>
      </c>
      <c r="C155" s="128" t="inlineStr">
        <is>
          <t>信达证券</t>
        </is>
      </c>
      <c r="D155" s="128" t="inlineStr">
        <is>
          <t>信用卡消费贷款</t>
        </is>
      </c>
      <c r="E155" s="349" t="n">
        <v>0.05</v>
      </c>
      <c r="F155" s="131" t="n">
        <v>46007</v>
      </c>
      <c r="G155" s="657" t="n">
        <v>102400</v>
      </c>
      <c r="H155" s="657" t="n">
        <v>0</v>
      </c>
      <c r="I155" s="744" t="n">
        <v>0</v>
      </c>
      <c r="J155" s="350" t="n">
        <v>46121</v>
      </c>
      <c r="K155" s="128" t="inlineStr">
        <is>
          <t>0420关注</t>
        </is>
      </c>
      <c r="L155" s="128" t="inlineStr">
        <is>
          <t>2589486.IB</t>
        </is>
      </c>
      <c r="M155" s="743" t="n"/>
      <c r="O155" s="741">
        <f>+I155/H155*10000</f>
        <v/>
      </c>
    </row>
    <row r="156">
      <c r="B156" s="128" t="inlineStr">
        <is>
          <t>26建欣1C</t>
        </is>
      </c>
      <c r="C156" s="128" t="inlineStr">
        <is>
          <t>信达证券</t>
        </is>
      </c>
      <c r="D156" s="128" t="inlineStr">
        <is>
          <t>微小企业贷款</t>
        </is>
      </c>
      <c r="E156" s="349" t="n">
        <v>0.05</v>
      </c>
      <c r="F156" s="131" t="n">
        <v>46108</v>
      </c>
      <c r="G156" s="657" t="n">
        <v>372800</v>
      </c>
      <c r="H156" s="657" t="n">
        <v>372800</v>
      </c>
      <c r="I156" s="657" t="n">
        <v>3728</v>
      </c>
      <c r="J156" s="350" t="n"/>
      <c r="L156" s="128" t="inlineStr">
        <is>
          <t>2689062.IB</t>
        </is>
      </c>
      <c r="M156" s="743" t="n"/>
      <c r="N156" s="344" t="n">
        <v>46229</v>
      </c>
    </row>
    <row r="157">
      <c r="E157" s="349" t="n"/>
      <c r="G157" s="657" t="n"/>
      <c r="H157" s="657" t="n"/>
      <c r="I157" s="657" t="n"/>
      <c r="J157" s="350" t="n"/>
      <c r="M157" s="743" t="n"/>
    </row>
    <row r="158">
      <c r="E158" s="349" t="n"/>
      <c r="G158" s="657" t="n"/>
      <c r="H158" s="657" t="n"/>
      <c r="I158" s="657" t="n"/>
      <c r="J158" s="350" t="n"/>
      <c r="M158" s="743" t="n"/>
    </row>
    <row r="159" customFormat="1" s="360">
      <c r="B159" s="360" t="inlineStr">
        <is>
          <t>23工元至诚8C</t>
        </is>
      </c>
      <c r="C159" s="360" t="inlineStr">
        <is>
          <t>中泰证券</t>
        </is>
      </c>
      <c r="D159" s="360" t="inlineStr">
        <is>
          <t>住房抵押贷款</t>
        </is>
      </c>
      <c r="E159" s="361" t="n"/>
      <c r="F159" s="362" t="n">
        <v>45288</v>
      </c>
      <c r="G159" s="747" t="n">
        <v>200000</v>
      </c>
      <c r="H159" s="747" t="n">
        <v>0</v>
      </c>
      <c r="I159" s="747" t="n">
        <v>0</v>
      </c>
      <c r="J159" s="364" t="n">
        <v>45299</v>
      </c>
      <c r="L159" s="360" t="inlineStr">
        <is>
          <t>2389487.IB</t>
        </is>
      </c>
      <c r="M159" s="748" t="n">
        <v>100</v>
      </c>
    </row>
    <row r="160" customFormat="1" s="133">
      <c r="B160" s="133" t="inlineStr">
        <is>
          <t>24建欣4C</t>
        </is>
      </c>
      <c r="C160" s="133" t="inlineStr">
        <is>
          <t>中泰证券</t>
        </is>
      </c>
      <c r="D160" s="133" t="inlineStr">
        <is>
          <t>微小企业贷款</t>
        </is>
      </c>
      <c r="E160" s="139" t="n"/>
      <c r="F160" s="134" t="n">
        <v>45407</v>
      </c>
      <c r="G160" s="749" t="n">
        <v>48200</v>
      </c>
      <c r="H160" s="749" t="n">
        <v>0</v>
      </c>
      <c r="I160" s="749" t="n">
        <v>0</v>
      </c>
      <c r="J160" s="144" t="n">
        <v>45436</v>
      </c>
      <c r="L160" s="133" t="inlineStr">
        <is>
          <t>2489090.IB</t>
        </is>
      </c>
      <c r="M160" s="743" t="n"/>
      <c r="P160" s="128" t="n"/>
    </row>
    <row r="161">
      <c r="B161" s="128" t="inlineStr">
        <is>
          <t>24兴瑞3C</t>
        </is>
      </c>
      <c r="C161" s="128" t="inlineStr">
        <is>
          <t>国联证券</t>
        </is>
      </c>
      <c r="D161" s="128" t="inlineStr">
        <is>
          <t>信用卡消费贷款</t>
        </is>
      </c>
      <c r="F161" s="131" t="n">
        <v>45460</v>
      </c>
      <c r="G161" s="657" t="n">
        <v>31000</v>
      </c>
      <c r="H161" s="657" t="n">
        <v>0</v>
      </c>
      <c r="I161" s="657" t="n">
        <v>0</v>
      </c>
      <c r="J161" s="350" t="n">
        <v>45643</v>
      </c>
      <c r="L161" s="128" t="inlineStr">
        <is>
          <t>2489145.IB</t>
        </is>
      </c>
      <c r="M161" s="743" t="n"/>
    </row>
    <row r="162">
      <c r="B162" s="128" t="inlineStr">
        <is>
          <t>24中誉至诚5C</t>
        </is>
      </c>
      <c r="C162" s="128" t="inlineStr">
        <is>
          <t>国联证券</t>
        </is>
      </c>
      <c r="D162" s="128" t="inlineStr">
        <is>
          <t>信用卡消费贷款</t>
        </is>
      </c>
      <c r="F162" s="131" t="n">
        <v>45470</v>
      </c>
      <c r="G162" s="657" t="n">
        <v>8100</v>
      </c>
      <c r="H162" s="657" t="n">
        <v>0</v>
      </c>
      <c r="I162" s="657" t="n">
        <v>0</v>
      </c>
      <c r="J162" s="350" t="n">
        <v>45482</v>
      </c>
      <c r="L162" s="128" t="inlineStr">
        <is>
          <t>2489174.IB</t>
        </is>
      </c>
      <c r="M162" s="743" t="n"/>
    </row>
    <row r="163">
      <c r="B163" s="128" t="inlineStr">
        <is>
          <t>24建欣8C</t>
        </is>
      </c>
      <c r="C163" s="128" t="inlineStr">
        <is>
          <t>国联证券</t>
        </is>
      </c>
      <c r="D163" s="128" t="inlineStr">
        <is>
          <t>微小企业贷款</t>
        </is>
      </c>
      <c r="F163" s="131" t="n">
        <v>45531</v>
      </c>
      <c r="G163" s="657" t="n">
        <v>30000</v>
      </c>
      <c r="H163" s="657" t="n">
        <v>0</v>
      </c>
      <c r="I163" s="657" t="n">
        <v>0</v>
      </c>
      <c r="J163" s="350" t="n">
        <v>45546</v>
      </c>
      <c r="L163" s="128" t="inlineStr">
        <is>
          <t>2489235.IB</t>
        </is>
      </c>
      <c r="M163" s="743" t="n"/>
    </row>
    <row r="164">
      <c r="B164" s="128" t="inlineStr">
        <is>
          <t>24兴瑞5C</t>
        </is>
      </c>
      <c r="C164" s="128" t="inlineStr">
        <is>
          <t>国联证券</t>
        </is>
      </c>
      <c r="D164" s="128" t="inlineStr">
        <is>
          <t>信用卡消费贷款</t>
        </is>
      </c>
      <c r="F164" s="131" t="n">
        <v>45554</v>
      </c>
      <c r="G164" s="657" t="n">
        <v>90000</v>
      </c>
      <c r="H164" s="657" t="n">
        <v>0</v>
      </c>
      <c r="I164" s="657" t="n">
        <v>0</v>
      </c>
      <c r="J164" s="350" t="n">
        <v>45659</v>
      </c>
      <c r="L164" s="128" t="inlineStr">
        <is>
          <t>2489264.IB</t>
        </is>
      </c>
      <c r="M164" s="743" t="n"/>
    </row>
    <row r="165">
      <c r="B165" s="128" t="inlineStr">
        <is>
          <t>24邮盈惠兴6C</t>
        </is>
      </c>
      <c r="C165" s="128" t="inlineStr">
        <is>
          <t>国联证券</t>
        </is>
      </c>
      <c r="D165" s="128" t="inlineStr">
        <is>
          <t>一般消费贷款</t>
        </is>
      </c>
      <c r="F165" s="131" t="n">
        <v>45559</v>
      </c>
      <c r="G165" s="657" t="n">
        <v>24400</v>
      </c>
      <c r="H165" s="657" t="n">
        <v>0</v>
      </c>
      <c r="I165" s="657" t="n">
        <v>0</v>
      </c>
      <c r="J165" s="350" t="n">
        <v>45715</v>
      </c>
      <c r="L165" s="128" t="inlineStr">
        <is>
          <t>2489257.IB</t>
        </is>
      </c>
      <c r="M165" s="743" t="n"/>
    </row>
    <row r="166">
      <c r="B166" s="128" t="inlineStr">
        <is>
          <t>24橙益12C</t>
        </is>
      </c>
      <c r="C166" s="128" t="inlineStr">
        <is>
          <t>国联证券</t>
        </is>
      </c>
      <c r="D166" s="128" t="inlineStr">
        <is>
          <t>信用卡消费贷款</t>
        </is>
      </c>
      <c r="F166" s="131" t="n">
        <v>45561</v>
      </c>
      <c r="G166" s="657" t="n">
        <v>12900</v>
      </c>
      <c r="H166" s="657" t="n">
        <v>0</v>
      </c>
      <c r="I166" s="657" t="n">
        <v>0</v>
      </c>
      <c r="J166" s="350" t="n">
        <v>45715</v>
      </c>
      <c r="L166" s="128" t="inlineStr">
        <is>
          <t>2489290.IB</t>
        </is>
      </c>
      <c r="M166" s="743" t="n">
        <v>18.423</v>
      </c>
    </row>
    <row r="167">
      <c r="B167" s="128" t="inlineStr">
        <is>
          <t>24浦鑫归航8C</t>
        </is>
      </c>
      <c r="C167" s="128" t="inlineStr">
        <is>
          <t>国联证券</t>
        </is>
      </c>
      <c r="D167" s="128" t="inlineStr">
        <is>
          <t>信用卡消费贷款</t>
        </is>
      </c>
      <c r="F167" s="131" t="n">
        <v>45653</v>
      </c>
      <c r="G167" s="657" t="n">
        <v>12000</v>
      </c>
      <c r="H167" s="657" t="n">
        <v>0</v>
      </c>
      <c r="I167" s="657" t="n">
        <v>0</v>
      </c>
      <c r="J167" s="350" t="n">
        <v>45667</v>
      </c>
      <c r="L167" s="128" t="inlineStr">
        <is>
          <t>2489436.IB</t>
        </is>
      </c>
      <c r="M167" s="743" t="n">
        <v>100</v>
      </c>
    </row>
    <row r="168">
      <c r="B168" s="128" t="inlineStr">
        <is>
          <t>24中誉至诚9C</t>
        </is>
      </c>
      <c r="C168" s="128" t="inlineStr">
        <is>
          <t>国联证券</t>
        </is>
      </c>
      <c r="D168" s="128" t="inlineStr">
        <is>
          <t>信用卡消费贷款</t>
        </is>
      </c>
      <c r="E168" s="349" t="n">
        <v>0.05</v>
      </c>
      <c r="F168" s="131" t="n">
        <v>45656</v>
      </c>
      <c r="G168" s="657" t="n">
        <v>6800</v>
      </c>
      <c r="H168" s="657" t="n">
        <v>6800</v>
      </c>
      <c r="I168" s="657" t="n">
        <v>13.67</v>
      </c>
      <c r="K168" s="128" t="inlineStr">
        <is>
          <t>无法买回，关注后续收益率</t>
        </is>
      </c>
      <c r="L168" s="128" t="inlineStr">
        <is>
          <t>2489430.IB</t>
        </is>
      </c>
      <c r="M168" s="743" t="n">
        <v>19.11</v>
      </c>
      <c r="N168" s="128" t="inlineStr">
        <is>
          <t>2026-07-26</t>
        </is>
      </c>
    </row>
    <row r="169" customFormat="1" s="351">
      <c r="B169" s="351" t="inlineStr">
        <is>
          <t>26工元至诚普银1C</t>
        </is>
      </c>
      <c r="C169" s="351" t="inlineStr">
        <is>
          <t>中金自营</t>
        </is>
      </c>
      <c r="D169" s="351" t="inlineStr">
        <is>
          <t>个人经营贷</t>
        </is>
      </c>
      <c r="E169" s="352" t="n">
        <v>0.05</v>
      </c>
      <c r="F169" s="353" t="n">
        <v>46107</v>
      </c>
      <c r="G169" s="751" t="n">
        <v>120000</v>
      </c>
      <c r="H169" s="751" t="n">
        <v>120000</v>
      </c>
      <c r="I169" s="751">
        <f>+H169*1/100</f>
        <v/>
      </c>
      <c r="J169" s="355" t="n"/>
      <c r="K169" s="351" t="inlineStr">
        <is>
          <t>522买回</t>
        </is>
      </c>
      <c r="L169" s="351" t="inlineStr">
        <is>
          <t>2689034.IB</t>
        </is>
      </c>
      <c r="N169" s="356" t="n">
        <v>46229</v>
      </c>
    </row>
    <row r="170">
      <c r="B170" s="128" t="inlineStr">
        <is>
          <t>26惠元1C</t>
        </is>
      </c>
      <c r="C170" s="128" t="inlineStr">
        <is>
          <t>中金自营</t>
        </is>
      </c>
      <c r="D170" s="128" t="inlineStr">
        <is>
          <t>个人经营贷</t>
        </is>
      </c>
      <c r="E170" s="349" t="n">
        <v>0.05</v>
      </c>
      <c r="F170" s="131" t="n">
        <v>46107</v>
      </c>
      <c r="G170" s="657" t="n">
        <v>45000</v>
      </c>
      <c r="H170" s="657" t="n">
        <v>45000</v>
      </c>
      <c r="I170" s="657">
        <f>450*1.01</f>
        <v/>
      </c>
      <c r="J170" s="350" t="n"/>
      <c r="K170" s="128" t="inlineStr">
        <is>
          <t>522买回</t>
        </is>
      </c>
      <c r="L170" s="128" t="inlineStr">
        <is>
          <t>2689040.IB</t>
        </is>
      </c>
      <c r="N170" s="344" t="n">
        <v>46315</v>
      </c>
    </row>
    <row r="171">
      <c r="B171" s="128" t="inlineStr">
        <is>
          <t>26臻金1C</t>
        </is>
      </c>
      <c r="C171" s="128" t="inlineStr">
        <is>
          <t>中金自营</t>
        </is>
      </c>
      <c r="D171" s="128" t="inlineStr">
        <is>
          <t>微小企业贷款</t>
        </is>
      </c>
      <c r="E171" s="349" t="n">
        <v>0.07000000000000001</v>
      </c>
      <c r="F171" s="131" t="n">
        <v>46135</v>
      </c>
      <c r="G171" s="657" t="n">
        <v>33000</v>
      </c>
      <c r="H171" s="657">
        <f>+G171*1.02</f>
        <v/>
      </c>
      <c r="I171" s="657" t="n">
        <v>336.6</v>
      </c>
      <c r="J171" s="350" t="n"/>
      <c r="K171" s="128" t="inlineStr">
        <is>
          <t>2个月买回6/23</t>
        </is>
      </c>
      <c r="L171" s="128" t="inlineStr">
        <is>
          <t>2689066.IB</t>
        </is>
      </c>
      <c r="N171" s="344" t="n">
        <v>46321</v>
      </c>
    </row>
    <row r="173">
      <c r="G173" s="752" t="inlineStr">
        <is>
          <t>SUM</t>
        </is>
      </c>
      <c r="H173" s="752">
        <f>SUBTOTAL(9,H1:H172)</f>
        <v/>
      </c>
      <c r="I173" s="752">
        <f>SUBTOTAL(9,I1:I172)</f>
        <v/>
      </c>
      <c r="J173" s="145" t="n"/>
    </row>
    <row r="178">
      <c r="F178" s="128" t="inlineStr">
        <is>
          <t>25惠元2C</t>
        </is>
      </c>
      <c r="G178" s="349">
        <f>XIRR(G179:G180,F179:F180)</f>
        <v/>
      </c>
      <c r="J178" s="753">
        <f>100*5%/365*(DATE(2026,5,22)-F169)</f>
        <v/>
      </c>
      <c r="K178" s="131" t="n"/>
      <c r="L178" s="131" t="n"/>
      <c r="M178" s="753" t="n"/>
    </row>
    <row r="179">
      <c r="F179" s="131" t="n">
        <v>45743</v>
      </c>
      <c r="G179" s="657" t="n">
        <v>-103</v>
      </c>
      <c r="J179" s="754" t="n"/>
      <c r="K179" s="349">
        <f>XIRR(K180:K181,J180:J181)</f>
        <v/>
      </c>
      <c r="L179" s="349">
        <f>XIRR(L180:L181,J180:J181)</f>
        <v/>
      </c>
    </row>
    <row r="180">
      <c r="F180" s="131" t="n">
        <v>46086</v>
      </c>
      <c r="G180" s="753">
        <f>-G179*(1+6%*(F180-F179)/365)</f>
        <v/>
      </c>
      <c r="H180" s="753">
        <f>-G179*(1+5%*(F180-F179)/365)</f>
        <v/>
      </c>
      <c r="J180" s="350" t="n">
        <v>46107</v>
      </c>
      <c r="K180" s="128" t="n">
        <v>-100</v>
      </c>
      <c r="L180" s="128" t="n">
        <v>-101</v>
      </c>
    </row>
    <row r="181">
      <c r="J181" s="350" t="n">
        <v>46164</v>
      </c>
      <c r="K181" s="128">
        <f>100*5%/365*(J181-J180)+100</f>
        <v/>
      </c>
      <c r="L181" s="128">
        <f>101*5%/365*(J181-J180)+101</f>
        <v/>
      </c>
    </row>
    <row r="182">
      <c r="K182" s="753" t="n"/>
      <c r="L182" s="753" t="n"/>
    </row>
    <row r="190">
      <c r="J190" s="754" t="n"/>
    </row>
  </sheetData>
  <autoFilter ref="A1:T171"/>
  <pageMargins left="0.7" right="0.7" top="0.75" bottom="0.75" header="0.3" footer="0.3"/>
  <pageSetup orientation="portrait" paperSize="9"/>
</worksheet>
</file>

<file path=xl/worksheets/sheet26.xml><?xml version="1.0" encoding="utf-8"?>
<worksheet xmlns="http://schemas.openxmlformats.org/spreadsheetml/2006/main">
  <sheetPr codeName="Sheet19">
    <outlinePr summaryBelow="1" summaryRight="1"/>
    <pageSetUpPr/>
  </sheetPr>
  <dimension ref="A2:T153"/>
  <sheetViews>
    <sheetView topLeftCell="B132" zoomScale="106" zoomScaleNormal="106" workbookViewId="0">
      <selection activeCell="K166" sqref="K166"/>
    </sheetView>
  </sheetViews>
  <sheetFormatPr baseColWidth="8" defaultRowHeight="16.5"/>
  <cols>
    <col width="23.5" customWidth="1" style="326" min="1" max="1"/>
    <col width="11.625" customWidth="1" style="326" min="2" max="2"/>
    <col width="12.5" customWidth="1" style="326" min="3" max="6"/>
    <col width="11.375" bestFit="1" customWidth="1" style="326" min="10" max="10"/>
    <col width="11.625" customWidth="1" style="326" min="17" max="17"/>
    <col width="16.75" customWidth="1" style="326" min="18" max="18"/>
    <col width="10" bestFit="1" customWidth="1" style="326" min="19" max="19"/>
  </cols>
  <sheetData>
    <row r="2">
      <c r="A2" s="0" t="inlineStr">
        <is>
          <t>新发行：次级/非不良（含搭售）</t>
        </is>
      </c>
      <c r="B2" s="147" t="inlineStr">
        <is>
          <t>层级</t>
        </is>
      </c>
      <c r="C2" s="147" t="inlineStr">
        <is>
          <t>类型</t>
        </is>
      </c>
      <c r="D2" s="147" t="inlineStr">
        <is>
          <t>一级/二级</t>
        </is>
      </c>
      <c r="E2" s="147" t="inlineStr">
        <is>
          <t>簿记日</t>
        </is>
      </c>
      <c r="F2" s="147" t="inlineStr">
        <is>
          <t>缴款日/交易日</t>
        </is>
      </c>
      <c r="G2" s="147" t="inlineStr">
        <is>
          <t>证券</t>
        </is>
      </c>
      <c r="H2" s="147" t="inlineStr">
        <is>
          <t>项目</t>
        </is>
      </c>
      <c r="I2" s="147" t="inlineStr">
        <is>
          <t>发行规模</t>
        </is>
      </c>
      <c r="J2" s="147" t="inlineStr">
        <is>
          <t>预计投资规模</t>
        </is>
      </c>
      <c r="K2" s="147" t="inlineStr">
        <is>
          <t>收益率</t>
        </is>
      </c>
      <c r="L2" s="147" t="inlineStr">
        <is>
          <t>对接券商</t>
        </is>
      </c>
      <c r="M2" s="147" t="inlineStr">
        <is>
          <t>对接其他人</t>
        </is>
      </c>
      <c r="N2" s="147" t="inlineStr">
        <is>
          <t>预计交易户</t>
        </is>
      </c>
      <c r="O2" s="147" t="inlineStr">
        <is>
          <t>备注</t>
        </is>
      </c>
    </row>
    <row r="3" hidden="1" s="326">
      <c r="B3" s="112" t="inlineStr">
        <is>
          <t>次级</t>
        </is>
      </c>
      <c r="C3" s="112" t="inlineStr">
        <is>
          <t>央企应收</t>
        </is>
      </c>
      <c r="D3" s="112" t="inlineStr">
        <is>
          <t>一级</t>
        </is>
      </c>
      <c r="E3" s="110" t="n">
        <v>46050</v>
      </c>
      <c r="F3" s="110" t="n">
        <v>46055</v>
      </c>
      <c r="G3" s="112" t="inlineStr">
        <is>
          <t>待定</t>
        </is>
      </c>
      <c r="H3" s="112" t="inlineStr">
        <is>
          <t>一冶次级</t>
        </is>
      </c>
      <c r="I3" s="112" t="n">
        <v>5900</v>
      </c>
      <c r="J3" s="112" t="n">
        <v>900</v>
      </c>
      <c r="K3" s="240" t="n">
        <v>0.07000000000000001</v>
      </c>
      <c r="L3" s="112" t="inlineStr">
        <is>
          <t>银河</t>
        </is>
      </c>
      <c r="M3" s="112" t="inlineStr">
        <is>
          <t>一冶</t>
        </is>
      </c>
      <c r="N3" s="112" t="inlineStr">
        <is>
          <t>苏信</t>
        </is>
      </c>
      <c r="O3" s="112" t="inlineStr">
        <is>
          <t>户已定，已过会</t>
        </is>
      </c>
    </row>
    <row r="4" hidden="1" s="326">
      <c r="B4" s="0" t="inlineStr">
        <is>
          <t>次级</t>
        </is>
      </c>
      <c r="C4" s="0" t="inlineStr">
        <is>
          <t>央企应收</t>
        </is>
      </c>
      <c r="D4" s="0" t="inlineStr">
        <is>
          <t>一级</t>
        </is>
      </c>
      <c r="E4" s="0" t="inlineStr">
        <is>
          <t>待定</t>
        </is>
      </c>
      <c r="F4" s="0" t="inlineStr">
        <is>
          <t>待定</t>
        </is>
      </c>
      <c r="G4" s="0" t="inlineStr">
        <is>
          <t>待定</t>
        </is>
      </c>
      <c r="H4" s="0" t="inlineStr">
        <is>
          <t>中建基础</t>
        </is>
      </c>
      <c r="I4" s="0" t="n">
        <v>4000</v>
      </c>
      <c r="K4" s="146" t="n">
        <v>0.05</v>
      </c>
      <c r="L4" s="0" t="inlineStr">
        <is>
          <t>财达</t>
        </is>
      </c>
      <c r="O4" s="0" t="inlineStr">
        <is>
          <t>收益率低，概率小</t>
        </is>
      </c>
    </row>
    <row r="5" hidden="1" s="326">
      <c r="B5" s="0" t="inlineStr">
        <is>
          <t>次级</t>
        </is>
      </c>
      <c r="C5" s="0" t="inlineStr">
        <is>
          <t>消金</t>
        </is>
      </c>
      <c r="D5" s="0" t="inlineStr">
        <is>
          <t>一级</t>
        </is>
      </c>
      <c r="E5" s="117" t="n">
        <v>46044</v>
      </c>
      <c r="F5" s="117" t="n">
        <v>46048</v>
      </c>
      <c r="H5" s="0" t="inlineStr">
        <is>
          <t>美歆8期abs</t>
        </is>
      </c>
      <c r="J5" s="0" t="n">
        <v>1000</v>
      </c>
      <c r="K5" s="150" t="n">
        <v>0.048</v>
      </c>
      <c r="L5" s="0" t="inlineStr">
        <is>
          <t>华泰</t>
        </is>
      </c>
      <c r="M5" s="0" t="inlineStr">
        <is>
          <t>美团</t>
        </is>
      </c>
      <c r="N5" s="0" t="inlineStr">
        <is>
          <t>外贸1</t>
        </is>
      </c>
      <c r="O5" s="0" t="inlineStr">
        <is>
          <t>自持要求，搭售待定</t>
        </is>
      </c>
    </row>
    <row r="6" hidden="1" s="326">
      <c r="B6" s="112" t="inlineStr">
        <is>
          <t>次级</t>
        </is>
      </c>
      <c r="C6" s="112" t="inlineStr">
        <is>
          <t>小微</t>
        </is>
      </c>
      <c r="D6" s="112" t="inlineStr">
        <is>
          <t>一级</t>
        </is>
      </c>
      <c r="E6" s="110" t="n">
        <v>46037</v>
      </c>
      <c r="F6" s="110" t="n">
        <v>46041</v>
      </c>
      <c r="G6" s="112" t="n"/>
      <c r="H6" s="112" t="inlineStr">
        <is>
          <t>锦新2026-1ABN</t>
        </is>
      </c>
      <c r="I6" s="112" t="n"/>
      <c r="J6" s="112" t="n">
        <v>800</v>
      </c>
      <c r="K6" s="189" t="n">
        <v>0.057</v>
      </c>
      <c r="L6" s="112" t="inlineStr">
        <is>
          <t>中金</t>
        </is>
      </c>
      <c r="M6" s="112" t="inlineStr">
        <is>
          <t>新网</t>
        </is>
      </c>
      <c r="N6" s="112" t="inlineStr">
        <is>
          <t>外贸1</t>
        </is>
      </c>
      <c r="O6" s="112" t="inlineStr">
        <is>
          <t>自持要求</t>
        </is>
      </c>
    </row>
    <row r="7" hidden="1" customFormat="1" s="112">
      <c r="B7" s="112" t="inlineStr">
        <is>
          <t>次级</t>
        </is>
      </c>
      <c r="C7" s="112" t="inlineStr">
        <is>
          <t>保函</t>
        </is>
      </c>
      <c r="D7" s="112" t="inlineStr">
        <is>
          <t>一级</t>
        </is>
      </c>
      <c r="F7" s="110" t="n">
        <v>46065</v>
      </c>
      <c r="H7" s="112" t="inlineStr">
        <is>
          <t>泸融3期</t>
        </is>
      </c>
      <c r="I7" s="112" t="n">
        <v>100</v>
      </c>
      <c r="J7" s="112" t="n">
        <v>100</v>
      </c>
      <c r="K7" s="240" t="n">
        <v>0.07000000000000001</v>
      </c>
      <c r="L7" s="112" t="inlineStr">
        <is>
          <t>华福</t>
        </is>
      </c>
      <c r="M7" s="112" t="inlineStr">
        <is>
          <t>泸州银行</t>
        </is>
      </c>
      <c r="N7" s="112" t="inlineStr">
        <is>
          <t>元康28</t>
        </is>
      </c>
    </row>
    <row r="8" hidden="1" s="326">
      <c r="B8" s="0" t="inlineStr">
        <is>
          <t>次级</t>
        </is>
      </c>
      <c r="C8" s="0" t="inlineStr">
        <is>
          <t>保函</t>
        </is>
      </c>
      <c r="D8" s="0" t="inlineStr">
        <is>
          <t>一级</t>
        </is>
      </c>
      <c r="E8" s="117" t="n"/>
      <c r="F8" s="117" t="n"/>
      <c r="H8" s="0" t="inlineStr">
        <is>
          <t>首创证券-潍信惟行2期</t>
        </is>
      </c>
      <c r="I8" s="0" t="n">
        <v>100</v>
      </c>
      <c r="J8" s="0" t="n">
        <v>100</v>
      </c>
      <c r="K8" s="0" t="inlineStr">
        <is>
          <t>待定</t>
        </is>
      </c>
      <c r="L8" s="0" t="inlineStr">
        <is>
          <t>首创</t>
        </is>
      </c>
      <c r="M8" s="0" t="inlineStr">
        <is>
          <t>潍坊银行</t>
        </is>
      </c>
      <c r="N8" s="0" t="inlineStr">
        <is>
          <t>元康28</t>
        </is>
      </c>
    </row>
    <row r="9" hidden="1" s="326">
      <c r="B9" s="0" t="inlineStr">
        <is>
          <t>次级</t>
        </is>
      </c>
      <c r="C9" s="0" t="inlineStr">
        <is>
          <t>汽车消费</t>
        </is>
      </c>
      <c r="D9" s="0" t="inlineStr">
        <is>
          <t>一级</t>
        </is>
      </c>
      <c r="H9" s="0" t="inlineStr">
        <is>
          <t>蔚能abs次A</t>
        </is>
      </c>
      <c r="J9" s="0" t="n">
        <v>4000</v>
      </c>
      <c r="K9" s="146" t="n">
        <v>0.1</v>
      </c>
      <c r="M9" s="0" t="inlineStr">
        <is>
          <t>蔚能</t>
        </is>
      </c>
      <c r="N9" s="0" t="inlineStr">
        <is>
          <t>苏信/元康28</t>
        </is>
      </c>
    </row>
    <row r="10" hidden="1" s="326">
      <c r="B10" s="0" t="inlineStr">
        <is>
          <t>次级</t>
        </is>
      </c>
      <c r="C10" s="0" t="inlineStr">
        <is>
          <t>保函</t>
        </is>
      </c>
      <c r="D10" s="0" t="inlineStr">
        <is>
          <t>一级</t>
        </is>
      </c>
      <c r="E10" s="117" t="n">
        <v>46044</v>
      </c>
      <c r="F10" s="117" t="n">
        <v>46048</v>
      </c>
      <c r="H10" s="0" t="inlineStr">
        <is>
          <t>烟台银行次级</t>
        </is>
      </c>
      <c r="I10" s="0" t="n">
        <v>100</v>
      </c>
      <c r="J10" s="0" t="n">
        <v>100</v>
      </c>
      <c r="K10" s="146" t="n">
        <v>0.07000000000000001</v>
      </c>
      <c r="L10" s="0" t="inlineStr">
        <is>
          <t>首创</t>
        </is>
      </c>
      <c r="N10" s="0" t="inlineStr">
        <is>
          <t>元康28</t>
        </is>
      </c>
    </row>
    <row r="11" hidden="1" s="326">
      <c r="B11" s="112" t="inlineStr">
        <is>
          <t>次级</t>
        </is>
      </c>
      <c r="C11" s="112" t="inlineStr">
        <is>
          <t>央企应收</t>
        </is>
      </c>
      <c r="D11" s="112" t="inlineStr">
        <is>
          <t>二级</t>
        </is>
      </c>
      <c r="E11" s="112" t="n"/>
      <c r="F11" s="110" t="n">
        <v>46035</v>
      </c>
      <c r="G11" s="112" t="inlineStr">
        <is>
          <t>铁建058C</t>
        </is>
      </c>
      <c r="H11" s="112" t="n"/>
      <c r="I11" s="112" t="n"/>
      <c r="J11" s="112" t="n">
        <v>279</v>
      </c>
      <c r="K11" s="189" t="n">
        <v>0.08500000000000001</v>
      </c>
      <c r="L11" s="112" t="n"/>
      <c r="M11" s="112" t="n"/>
      <c r="N11" s="112" t="inlineStr">
        <is>
          <t>元康28</t>
        </is>
      </c>
      <c r="O11" s="112" t="inlineStr">
        <is>
          <t>帮代持，代持成本6%</t>
        </is>
      </c>
      <c r="Q11" s="0" t="inlineStr">
        <is>
          <t>价格按公允</t>
        </is>
      </c>
      <c r="R11" s="0" t="n">
        <v>109.225</v>
      </c>
      <c r="S11" s="0" t="inlineStr">
        <is>
          <t>铁建058C[260655.SH]，279w，109.225,1月13日，方田远见9号 to 元康盛景28号 刘靖涛</t>
        </is>
      </c>
    </row>
    <row r="12" hidden="1" s="326">
      <c r="B12" s="112" t="inlineStr">
        <is>
          <t>次级</t>
        </is>
      </c>
      <c r="C12" s="112" t="inlineStr">
        <is>
          <t>央企应收</t>
        </is>
      </c>
      <c r="D12" s="112" t="inlineStr">
        <is>
          <t>二级</t>
        </is>
      </c>
      <c r="E12" s="112" t="n"/>
      <c r="F12" s="110" t="n">
        <v>46038</v>
      </c>
      <c r="G12" s="112" t="inlineStr">
        <is>
          <t>G铁建82C</t>
        </is>
      </c>
      <c r="H12" s="112" t="n"/>
      <c r="I12" s="112" t="n"/>
      <c r="J12" s="112" t="n">
        <v>326</v>
      </c>
      <c r="K12" s="189" t="n">
        <v>0.065</v>
      </c>
      <c r="L12" s="112" t="n"/>
      <c r="M12" s="112" t="n"/>
      <c r="N12" s="112" t="inlineStr">
        <is>
          <t>待定</t>
        </is>
      </c>
      <c r="O12" s="112" t="inlineStr">
        <is>
          <t>帮代持，代持成本6%</t>
        </is>
      </c>
      <c r="P12" s="112" t="n"/>
      <c r="Q12" s="0" t="inlineStr">
        <is>
          <t>价格按公允</t>
        </is>
      </c>
      <c r="R12" s="0" t="n">
        <v>102.048</v>
      </c>
      <c r="S12" s="1" t="inlineStr">
        <is>
          <t>G铁建82C[266500.SH]，326w，102.048,1月16日，方田维纳3号 方田资本陈兴宇1519091045 to 元康盛景20号 刘靖涛</t>
        </is>
      </c>
    </row>
    <row r="13" hidden="1" s="326">
      <c r="B13" s="112" t="inlineStr">
        <is>
          <t>次级</t>
        </is>
      </c>
      <c r="C13" s="112" t="inlineStr">
        <is>
          <t>央企应收</t>
        </is>
      </c>
      <c r="D13" s="112" t="inlineStr">
        <is>
          <t>二级</t>
        </is>
      </c>
      <c r="E13" s="112" t="n"/>
      <c r="F13" s="110" t="n">
        <v>46038</v>
      </c>
      <c r="G13" s="112" t="inlineStr">
        <is>
          <t>铁建051C</t>
        </is>
      </c>
      <c r="H13" s="112" t="n"/>
      <c r="I13" s="112" t="n"/>
      <c r="J13" s="112" t="n">
        <v>665</v>
      </c>
      <c r="K13" s="189" t="n">
        <v>0.08500000000000001</v>
      </c>
      <c r="L13" s="112" t="n"/>
      <c r="M13" s="112" t="n"/>
      <c r="N13" s="112" t="inlineStr">
        <is>
          <t>元康20</t>
        </is>
      </c>
      <c r="O13" s="112" t="inlineStr">
        <is>
          <t>卖断后手6%</t>
        </is>
      </c>
      <c r="P13" s="112" t="n"/>
      <c r="Q13" s="0" t="inlineStr">
        <is>
          <t>倒算-110.075</t>
        </is>
      </c>
      <c r="R13" s="0" t="n">
        <v>111.076</v>
      </c>
      <c r="S13" s="0" t="inlineStr">
        <is>
          <t>铁建051C[199768.SH]，665w，111.075,1月16日，方田启航9号 to 元康盛景20号 刘靖涛</t>
        </is>
      </c>
    </row>
    <row r="14" hidden="1" customFormat="1" s="112">
      <c r="B14" s="112" t="inlineStr">
        <is>
          <t>次级</t>
        </is>
      </c>
      <c r="C14" s="112" t="inlineStr">
        <is>
          <t>小微</t>
        </is>
      </c>
      <c r="D14" s="112" t="inlineStr">
        <is>
          <t>一级</t>
        </is>
      </c>
      <c r="F14" s="110" t="n">
        <v>46105</v>
      </c>
      <c r="H14" s="112" t="inlineStr">
        <is>
          <t>锦新26-2ABN</t>
        </is>
      </c>
      <c r="J14" s="112" t="n">
        <v>1000</v>
      </c>
      <c r="K14" s="189" t="n">
        <v>0.057</v>
      </c>
      <c r="M14" s="112" t="inlineStr">
        <is>
          <t>新网</t>
        </is>
      </c>
      <c r="N14" s="112" t="inlineStr">
        <is>
          <t>鹏雅119</t>
        </is>
      </c>
      <c r="P14" s="112" t="inlineStr">
        <is>
          <t>市场化</t>
        </is>
      </c>
    </row>
    <row r="15" hidden="1" s="326">
      <c r="B15" s="0" t="inlineStr">
        <is>
          <t>次级</t>
        </is>
      </c>
      <c r="C15" s="0" t="inlineStr">
        <is>
          <t>小微</t>
        </is>
      </c>
      <c r="D15" s="0" t="inlineStr">
        <is>
          <t>一级</t>
        </is>
      </c>
      <c r="E15" s="117" t="n">
        <v>46087</v>
      </c>
      <c r="F15" s="117" t="n">
        <v>46091</v>
      </c>
      <c r="H15" s="0" t="inlineStr">
        <is>
          <t>锦新26-3ABN</t>
        </is>
      </c>
      <c r="J15" s="0" t="inlineStr">
        <is>
          <t>2000+1000</t>
        </is>
      </c>
      <c r="K15" s="150" t="n">
        <v>0.057</v>
      </c>
      <c r="M15" s="0" t="inlineStr">
        <is>
          <t>新网</t>
        </is>
      </c>
      <c r="N15" s="112" t="inlineStr">
        <is>
          <t>langrui 1-7</t>
        </is>
      </c>
      <c r="P15" s="0" t="inlineStr">
        <is>
          <t>自持2000</t>
        </is>
      </c>
    </row>
    <row r="16" hidden="1" s="326">
      <c r="B16" s="0" t="inlineStr">
        <is>
          <t>次级</t>
        </is>
      </c>
      <c r="C16" s="0" t="inlineStr">
        <is>
          <t>消金</t>
        </is>
      </c>
      <c r="D16" s="0" t="inlineStr">
        <is>
          <t>一级</t>
        </is>
      </c>
      <c r="F16" s="117" t="n">
        <v>46125</v>
      </c>
      <c r="H16" s="0" t="inlineStr">
        <is>
          <t>锦盛3号abs</t>
        </is>
      </c>
      <c r="J16" s="112" t="n">
        <v>1600</v>
      </c>
      <c r="K16" s="150" t="n">
        <v>0.057</v>
      </c>
      <c r="M16" s="0" t="inlineStr">
        <is>
          <t>新网</t>
        </is>
      </c>
      <c r="P16" s="0" t="inlineStr">
        <is>
          <t>市场化</t>
        </is>
      </c>
    </row>
    <row r="17" hidden="1" s="326">
      <c r="B17" s="257" t="inlineStr">
        <is>
          <t>次级</t>
        </is>
      </c>
      <c r="C17" s="257" t="inlineStr">
        <is>
          <t>汽车</t>
        </is>
      </c>
      <c r="D17" s="257" t="inlineStr">
        <is>
          <t>一级</t>
        </is>
      </c>
      <c r="E17" s="257" t="n"/>
      <c r="F17" s="260" t="n">
        <v>46065</v>
      </c>
      <c r="G17" s="257" t="n"/>
      <c r="H17" s="257" t="inlineStr">
        <is>
          <t>小鹏ABS次级</t>
        </is>
      </c>
      <c r="I17" s="257" t="n"/>
      <c r="J17" s="257" t="n">
        <v>7505</v>
      </c>
      <c r="K17" s="261" t="n">
        <v>0.068</v>
      </c>
      <c r="L17" s="257" t="inlineStr">
        <is>
          <t>国泰海通</t>
        </is>
      </c>
      <c r="M17" s="257" t="n"/>
      <c r="N17" s="257" t="n"/>
      <c r="O17" s="257" t="inlineStr">
        <is>
          <t>yuank 28</t>
        </is>
      </c>
    </row>
    <row r="18" hidden="1" customFormat="1" s="112">
      <c r="B18" s="112" t="inlineStr">
        <is>
          <t>次级</t>
        </is>
      </c>
      <c r="C18" s="112" t="inlineStr">
        <is>
          <t>小微</t>
        </is>
      </c>
      <c r="D18" s="112" t="inlineStr">
        <is>
          <t>一级</t>
        </is>
      </c>
      <c r="E18" s="110" t="n">
        <v>46079</v>
      </c>
      <c r="F18" s="110" t="n">
        <v>46083</v>
      </c>
      <c r="H18" s="112" t="inlineStr">
        <is>
          <t>启恒1期abs</t>
        </is>
      </c>
      <c r="J18" s="112" t="n">
        <v>500</v>
      </c>
      <c r="K18" s="189" t="n">
        <v>0.0598</v>
      </c>
      <c r="L18" s="112" t="inlineStr">
        <is>
          <t>首创</t>
        </is>
      </c>
      <c r="M18" s="112" t="inlineStr">
        <is>
          <t>金城</t>
        </is>
      </c>
      <c r="N18" s="112" t="inlineStr">
        <is>
          <t>元康28</t>
        </is>
      </c>
    </row>
    <row r="19" hidden="1" customFormat="1" s="112">
      <c r="B19" s="112" t="inlineStr">
        <is>
          <t>次级</t>
        </is>
      </c>
      <c r="C19" s="112" t="inlineStr">
        <is>
          <t>消金</t>
        </is>
      </c>
      <c r="D19" s="112" t="inlineStr">
        <is>
          <t>二级</t>
        </is>
      </c>
      <c r="F19" s="112" t="inlineStr">
        <is>
          <t>3月第1周</t>
        </is>
      </c>
      <c r="H19" s="112" t="inlineStr">
        <is>
          <t>ZJCF08C</t>
        </is>
      </c>
      <c r="J19" s="112" t="n">
        <v>1100</v>
      </c>
      <c r="K19" s="189" t="n">
        <v>0.055</v>
      </c>
      <c r="M19" s="112" t="inlineStr">
        <is>
          <t>马上</t>
        </is>
      </c>
    </row>
    <row r="20" hidden="1" customFormat="1" s="112">
      <c r="F20" s="110" t="n">
        <v>46080</v>
      </c>
      <c r="H20" s="274" t="inlineStr">
        <is>
          <t>16中盈2C 1689234.IB 45万份</t>
        </is>
      </c>
      <c r="I20" s="274" t="n"/>
      <c r="J20" s="274" t="n"/>
      <c r="K20" s="189" t="n"/>
      <c r="N20" s="112" t="inlineStr">
        <is>
          <t>朗瑞1-5</t>
        </is>
      </c>
    </row>
    <row r="21" hidden="1" customFormat="1" s="112">
      <c r="F21" s="110" t="n">
        <v>46080</v>
      </c>
      <c r="H21" s="274" t="inlineStr">
        <is>
          <t>16中盈1C 1689186.IB 60万份</t>
        </is>
      </c>
      <c r="I21" s="274" t="n"/>
      <c r="J21" s="274" t="n"/>
      <c r="K21" s="189" t="n"/>
      <c r="N21" s="112" t="inlineStr">
        <is>
          <t>朗瑞1-5</t>
        </is>
      </c>
    </row>
    <row r="22" hidden="1" customFormat="1" s="112">
      <c r="B22" s="112" t="inlineStr">
        <is>
          <t>次级</t>
        </is>
      </c>
      <c r="C22" s="112" t="inlineStr">
        <is>
          <t>小微</t>
        </is>
      </c>
      <c r="D22" s="112" t="inlineStr">
        <is>
          <t>二级</t>
        </is>
      </c>
      <c r="F22" s="110" t="n">
        <v>46094</v>
      </c>
      <c r="H22" s="112" t="inlineStr">
        <is>
          <t>25锦新小微ABN002次</t>
        </is>
      </c>
      <c r="J22" s="112" t="n">
        <v>1000</v>
      </c>
      <c r="K22" s="189" t="n">
        <v>0.058</v>
      </c>
      <c r="M22" s="112" t="inlineStr">
        <is>
          <t>金薇</t>
        </is>
      </c>
      <c r="N22" s="112" t="inlineStr">
        <is>
          <t>朗瑞1-5</t>
        </is>
      </c>
    </row>
    <row r="23" hidden="1" customFormat="1" s="112">
      <c r="B23" s="112" t="inlineStr">
        <is>
          <t>次级</t>
        </is>
      </c>
      <c r="C23" s="112" t="inlineStr">
        <is>
          <t>小微</t>
        </is>
      </c>
      <c r="D23" s="112" t="inlineStr">
        <is>
          <t>二级</t>
        </is>
      </c>
      <c r="F23" s="112" t="inlineStr">
        <is>
          <t>待定</t>
        </is>
      </c>
      <c r="H23" s="112" t="inlineStr">
        <is>
          <t>浩澜2026-1ABN</t>
        </is>
      </c>
      <c r="I23" s="112" t="n">
        <v>2000</v>
      </c>
      <c r="K23" s="189" t="inlineStr">
        <is>
          <t>5.98%-50bp</t>
        </is>
      </c>
      <c r="M23" s="112" t="inlineStr">
        <is>
          <t>利曦</t>
        </is>
      </c>
      <c r="N23" s="112" t="inlineStr">
        <is>
          <t>朗瑞1-5</t>
        </is>
      </c>
    </row>
    <row r="24" hidden="1" customFormat="1" s="112">
      <c r="B24" s="112" t="inlineStr">
        <is>
          <t>次级</t>
        </is>
      </c>
      <c r="C24" s="112" t="inlineStr">
        <is>
          <t>汽车消费</t>
        </is>
      </c>
      <c r="D24" s="112" t="inlineStr">
        <is>
          <t>一级</t>
        </is>
      </c>
      <c r="E24" s="110" t="n">
        <v>46099</v>
      </c>
      <c r="F24" s="110" t="n">
        <v>46104</v>
      </c>
      <c r="H24" s="112" t="inlineStr">
        <is>
          <t>蔚能ABN2026-1</t>
        </is>
      </c>
      <c r="I24" s="112" t="n">
        <v>6000</v>
      </c>
      <c r="J24" s="112" t="n">
        <v>3500</v>
      </c>
      <c r="K24" s="189" t="n">
        <v>0.09</v>
      </c>
      <c r="M24" s="112" t="inlineStr">
        <is>
          <t>中金</t>
        </is>
      </c>
      <c r="N24" s="112" t="inlineStr">
        <is>
          <t>朗瑞1-7</t>
        </is>
      </c>
    </row>
    <row r="25" hidden="1" customFormat="1" s="112">
      <c r="B25" s="112" t="inlineStr">
        <is>
          <t>次级</t>
        </is>
      </c>
      <c r="C25" s="112" t="inlineStr">
        <is>
          <t>小微</t>
        </is>
      </c>
      <c r="D25" s="112" t="inlineStr">
        <is>
          <t>一级</t>
        </is>
      </c>
      <c r="E25" s="110" t="n">
        <v>46129</v>
      </c>
      <c r="F25" s="110" t="n">
        <v>46133</v>
      </c>
      <c r="H25" s="112" t="inlineStr">
        <is>
          <t>晨惠2期</t>
        </is>
      </c>
      <c r="J25" s="112" t="n">
        <v>1000</v>
      </c>
      <c r="K25" s="189" t="n">
        <v>0.0588</v>
      </c>
      <c r="M25" s="112" t="inlineStr">
        <is>
          <t>金城</t>
        </is>
      </c>
      <c r="N25" s="112" t="inlineStr">
        <is>
          <t>苏信2502</t>
        </is>
      </c>
      <c r="P25" s="112" t="inlineStr">
        <is>
          <t>平安证券</t>
        </is>
      </c>
    </row>
    <row r="26" hidden="1" customFormat="1" s="112">
      <c r="B26" s="112" t="inlineStr">
        <is>
          <t>次级</t>
        </is>
      </c>
      <c r="C26" s="112" t="inlineStr">
        <is>
          <t>央企应收</t>
        </is>
      </c>
      <c r="D26" s="112" t="inlineStr">
        <is>
          <t>一级</t>
        </is>
      </c>
      <c r="E26" s="110" t="n">
        <v>46100</v>
      </c>
      <c r="F26" s="110" t="n">
        <v>46104</v>
      </c>
      <c r="H26" s="112" t="inlineStr">
        <is>
          <t>铁建085C</t>
        </is>
      </c>
      <c r="I26" s="112" t="n">
        <v>16100</v>
      </c>
      <c r="J26" s="112" t="n">
        <v>4000</v>
      </c>
      <c r="K26" s="189" t="n">
        <v>0.065</v>
      </c>
      <c r="M26" s="112" t="inlineStr">
        <is>
          <t>中信</t>
        </is>
      </c>
      <c r="N26" s="112" t="inlineStr">
        <is>
          <t>gtht</t>
        </is>
      </c>
    </row>
    <row r="27" hidden="1" customFormat="1" s="112">
      <c r="B27" s="112" t="inlineStr">
        <is>
          <t>次级</t>
        </is>
      </c>
      <c r="C27" s="112" t="inlineStr">
        <is>
          <t>消金</t>
        </is>
      </c>
      <c r="D27" s="112" t="inlineStr">
        <is>
          <t>一级</t>
        </is>
      </c>
      <c r="E27" s="110" t="n">
        <v>46093</v>
      </c>
      <c r="F27" s="110" t="n">
        <v>46097</v>
      </c>
      <c r="H27" s="112" t="inlineStr">
        <is>
          <t>2026年度美好生活第一期定向资产支持票据</t>
        </is>
      </c>
      <c r="I27" s="112" t="n">
        <v>9000</v>
      </c>
      <c r="J27" s="112" t="n">
        <v>800</v>
      </c>
      <c r="K27" s="189" t="n">
        <v>0.049</v>
      </c>
      <c r="M27" s="112" t="inlineStr">
        <is>
          <t>招商</t>
        </is>
      </c>
      <c r="N27" s="112" t="inlineStr">
        <is>
          <t>gtht</t>
        </is>
      </c>
      <c r="P27" s="112" t="inlineStr">
        <is>
          <t>搭售优先2倍</t>
        </is>
      </c>
    </row>
    <row r="28" hidden="1" s="326">
      <c r="B28" s="0" t="inlineStr">
        <is>
          <t>次级</t>
        </is>
      </c>
      <c r="C28" s="0" t="inlineStr">
        <is>
          <t>央企供应链</t>
        </is>
      </c>
      <c r="D28" s="0" t="inlineStr">
        <is>
          <t>一级</t>
        </is>
      </c>
      <c r="E28" s="117" t="n"/>
      <c r="F28" s="117" t="inlineStr">
        <is>
          <t>3月下旬</t>
        </is>
      </c>
      <c r="H28" s="0" t="inlineStr">
        <is>
          <t>国金保理第二期</t>
        </is>
      </c>
      <c r="I28" s="0" t="n">
        <v>10200</v>
      </c>
      <c r="K28" s="150" t="n">
        <v>0.065</v>
      </c>
      <c r="M28" s="0" t="inlineStr">
        <is>
          <t>天风</t>
        </is>
      </c>
      <c r="P28" s="0" t="inlineStr">
        <is>
          <t>不投</t>
        </is>
      </c>
    </row>
    <row r="29" hidden="1" s="326">
      <c r="E29" s="117" t="inlineStr">
        <is>
          <t>3月20日或23日</t>
        </is>
      </c>
      <c r="F29" s="117" t="inlineStr">
        <is>
          <t>3月24日或25日</t>
        </is>
      </c>
      <c r="H29" s="112" t="inlineStr">
        <is>
          <t>徐工机械应收5期</t>
        </is>
      </c>
      <c r="I29" s="112" t="n">
        <v>24000</v>
      </c>
      <c r="K29" s="150" t="n">
        <v>0.055</v>
      </c>
      <c r="M29" s="112" t="inlineStr">
        <is>
          <t>中金华泰</t>
        </is>
      </c>
    </row>
    <row r="30" hidden="1" s="326">
      <c r="B30" s="112" t="inlineStr">
        <is>
          <t>次级</t>
        </is>
      </c>
      <c r="C30" s="112" t="inlineStr">
        <is>
          <t>对公租赁</t>
        </is>
      </c>
      <c r="D30" s="112" t="inlineStr">
        <is>
          <t>二级</t>
        </is>
      </c>
      <c r="E30" s="117" t="n"/>
      <c r="F30" s="117" t="inlineStr">
        <is>
          <t>4月下旬</t>
        </is>
      </c>
      <c r="H30" s="112" t="inlineStr">
        <is>
          <t>中交租赁1期、3期</t>
        </is>
      </c>
      <c r="I30" s="112" t="n"/>
      <c r="J30" s="112" t="n">
        <v>8000</v>
      </c>
      <c r="K30" s="150" t="inlineStr">
        <is>
          <t>5.x%</t>
        </is>
      </c>
      <c r="M30" s="112" t="inlineStr">
        <is>
          <t>国泰海通</t>
        </is>
      </c>
    </row>
    <row r="31" hidden="1" customFormat="1" s="112">
      <c r="B31" s="112" t="inlineStr">
        <is>
          <t>次级</t>
        </is>
      </c>
      <c r="C31" s="112" t="inlineStr">
        <is>
          <t>RMBS</t>
        </is>
      </c>
      <c r="D31" s="112" t="inlineStr">
        <is>
          <t>二级</t>
        </is>
      </c>
      <c r="E31" s="110" t="n"/>
      <c r="F31" s="110" t="n">
        <v>46099</v>
      </c>
      <c r="H31" s="112" t="inlineStr">
        <is>
          <t>招行RMBS</t>
        </is>
      </c>
      <c r="J31" s="112" t="inlineStr">
        <is>
          <t>400w</t>
        </is>
      </c>
      <c r="K31" s="189" t="n"/>
      <c r="M31" s="112" t="inlineStr">
        <is>
          <t>国泰海通</t>
        </is>
      </c>
      <c r="N31" s="112" t="inlineStr">
        <is>
          <t>朗瑞1-5</t>
        </is>
      </c>
    </row>
    <row r="32" hidden="1" s="326">
      <c r="B32" s="0" t="inlineStr">
        <is>
          <t>次级</t>
        </is>
      </c>
      <c r="C32" s="0" t="inlineStr">
        <is>
          <t>小微</t>
        </is>
      </c>
      <c r="D32" s="0" t="inlineStr">
        <is>
          <t>一级</t>
        </is>
      </c>
      <c r="E32" s="117" t="n">
        <v>46120</v>
      </c>
      <c r="F32" s="117" t="n">
        <v>46122</v>
      </c>
      <c r="H32" s="112" t="inlineStr">
        <is>
          <t>启橙2-1</t>
        </is>
      </c>
      <c r="I32" s="112" t="n">
        <v>4500</v>
      </c>
      <c r="J32" s="112" t="n"/>
      <c r="K32" s="150" t="n">
        <v>0.06</v>
      </c>
      <c r="M32" s="112" t="inlineStr">
        <is>
          <t>中信证券</t>
        </is>
      </c>
      <c r="P32" s="0" t="inlineStr">
        <is>
          <t>475w次级+950wUA</t>
        </is>
      </c>
      <c r="R32" s="464" t="n"/>
      <c r="T32" s="464" t="n"/>
    </row>
    <row r="33" hidden="1" s="326">
      <c r="B33" s="0" t="inlineStr">
        <is>
          <t>次级</t>
        </is>
      </c>
      <c r="C33" s="0" t="inlineStr">
        <is>
          <t>消金</t>
        </is>
      </c>
      <c r="D33" s="0" t="inlineStr">
        <is>
          <t>一级</t>
        </is>
      </c>
      <c r="E33" s="117" t="n">
        <v>46113</v>
      </c>
      <c r="F33" s="117" t="n">
        <v>46115</v>
      </c>
      <c r="H33" s="112" t="inlineStr">
        <is>
          <t>惠橙1-2</t>
        </is>
      </c>
      <c r="I33" s="112" t="n">
        <v>4400</v>
      </c>
      <c r="K33" s="150" t="n">
        <v>0.06</v>
      </c>
      <c r="M33" s="112" t="inlineStr">
        <is>
          <t>中信证券</t>
        </is>
      </c>
      <c r="S33" s="117" t="n"/>
    </row>
    <row r="34">
      <c r="B34" s="0" t="inlineStr">
        <is>
          <t>次级</t>
        </is>
      </c>
      <c r="C34" s="0" t="inlineStr">
        <is>
          <t>小微</t>
        </is>
      </c>
      <c r="D34" s="0" t="inlineStr">
        <is>
          <t>一级</t>
        </is>
      </c>
      <c r="E34" s="117" t="n"/>
      <c r="F34" s="117" t="inlineStr">
        <is>
          <t>7月份</t>
        </is>
      </c>
      <c r="H34" s="112" t="inlineStr">
        <is>
          <t>锦新26-4ABN</t>
        </is>
      </c>
      <c r="I34" s="112" t="n"/>
      <c r="J34" s="0" t="n">
        <v>2000</v>
      </c>
      <c r="K34" s="150" t="n">
        <v>0.057</v>
      </c>
      <c r="M34" s="112" t="n"/>
      <c r="P34" s="0" t="inlineStr">
        <is>
          <t>自持5个月</t>
        </is>
      </c>
      <c r="Q34" s="150" t="n"/>
      <c r="R34" s="146" t="n"/>
      <c r="S34" s="117" t="n"/>
    </row>
    <row r="35" hidden="1" s="326">
      <c r="B35" s="0" t="inlineStr">
        <is>
          <t>次级</t>
        </is>
      </c>
      <c r="C35" s="0" t="inlineStr">
        <is>
          <t>RMBS</t>
        </is>
      </c>
      <c r="D35" s="0" t="inlineStr">
        <is>
          <t>二级</t>
        </is>
      </c>
      <c r="E35" s="117" t="n"/>
      <c r="F35" s="117" t="inlineStr">
        <is>
          <t>4月中</t>
        </is>
      </c>
      <c r="H35" s="0" t="inlineStr">
        <is>
          <t>招行RMBS</t>
        </is>
      </c>
      <c r="J35" s="0" t="inlineStr">
        <is>
          <t>每个月都有</t>
        </is>
      </c>
      <c r="K35" s="150" t="n"/>
      <c r="M35" s="0" t="inlineStr">
        <is>
          <t>国泰海通</t>
        </is>
      </c>
      <c r="N35" s="0" t="inlineStr">
        <is>
          <t>朗瑞1-5</t>
        </is>
      </c>
    </row>
    <row r="36" hidden="1" s="326">
      <c r="B36" s="0" t="inlineStr">
        <is>
          <t>次级</t>
        </is>
      </c>
      <c r="C36" s="0" t="inlineStr">
        <is>
          <t>应收账款保函</t>
        </is>
      </c>
      <c r="D36" s="0" t="inlineStr">
        <is>
          <t>一级</t>
        </is>
      </c>
      <c r="E36" s="117" t="n">
        <v>46121</v>
      </c>
      <c r="F36" s="117" t="n"/>
      <c r="H36" s="112" t="inlineStr">
        <is>
          <t>潍坊潍信1期</t>
        </is>
      </c>
      <c r="I36" s="0" t="n">
        <v>100</v>
      </c>
      <c r="J36" s="0" t="n">
        <v>100</v>
      </c>
      <c r="K36" s="150" t="n">
        <v>0.065</v>
      </c>
    </row>
    <row r="37" customFormat="1" s="112">
      <c r="B37" s="112" t="inlineStr">
        <is>
          <t>次级</t>
        </is>
      </c>
      <c r="C37" s="112" t="inlineStr">
        <is>
          <t>金采</t>
        </is>
      </c>
      <c r="D37" s="112" t="inlineStr">
        <is>
          <t>一级</t>
        </is>
      </c>
      <c r="E37" s="110" t="n">
        <v>46161</v>
      </c>
      <c r="F37" s="110" t="n">
        <v>46163</v>
      </c>
      <c r="H37" s="112" t="inlineStr">
        <is>
          <t>金采8-1次级</t>
        </is>
      </c>
      <c r="J37" s="112" t="n">
        <v>750</v>
      </c>
      <c r="K37" s="189" t="n">
        <v>0.0455</v>
      </c>
      <c r="M37" s="112" t="inlineStr">
        <is>
          <t>华泰</t>
        </is>
      </c>
      <c r="N37" s="112" t="inlineStr">
        <is>
          <t>苏信2603</t>
        </is>
      </c>
    </row>
    <row r="38" hidden="1" s="326">
      <c r="B38" s="0" t="inlineStr">
        <is>
          <t>次级</t>
        </is>
      </c>
      <c r="C38" s="0" t="inlineStr">
        <is>
          <t>汽车消费</t>
        </is>
      </c>
      <c r="D38" s="0" t="inlineStr">
        <is>
          <t>一级</t>
        </is>
      </c>
      <c r="E38" s="117" t="n"/>
      <c r="F38" s="117" t="inlineStr">
        <is>
          <t>4月底</t>
        </is>
      </c>
      <c r="H38" s="112" t="inlineStr">
        <is>
          <t>蔚能4月ABN</t>
        </is>
      </c>
      <c r="I38" s="112" t="n"/>
      <c r="J38" s="0" t="n">
        <v>2000</v>
      </c>
      <c r="K38" s="150" t="n">
        <v>0.08</v>
      </c>
      <c r="M38" s="112" t="inlineStr">
        <is>
          <t>中金</t>
        </is>
      </c>
    </row>
    <row r="39" hidden="1" s="326">
      <c r="B39" s="0" t="inlineStr">
        <is>
          <t>次级</t>
        </is>
      </c>
      <c r="C39" s="0" t="inlineStr">
        <is>
          <t>消金</t>
        </is>
      </c>
      <c r="D39" s="0" t="inlineStr">
        <is>
          <t>一级</t>
        </is>
      </c>
      <c r="E39" s="117" t="n"/>
      <c r="F39" s="117" t="n">
        <v>46132</v>
      </c>
      <c r="H39" s="112" t="inlineStr">
        <is>
          <t>惠鑫1-6次级</t>
        </is>
      </c>
      <c r="I39" s="112" t="n"/>
      <c r="J39" s="0" t="n">
        <v>1000</v>
      </c>
      <c r="K39" s="150" t="n">
        <v>0.047</v>
      </c>
      <c r="M39" s="112" t="n"/>
    </row>
    <row r="40">
      <c r="B40" s="0" t="inlineStr">
        <is>
          <t>次级</t>
        </is>
      </c>
      <c r="C40" s="0" t="inlineStr">
        <is>
          <t>汽车消费</t>
        </is>
      </c>
      <c r="D40" s="0" t="inlineStr">
        <is>
          <t>一级</t>
        </is>
      </c>
      <c r="E40" s="117" t="n">
        <v>46160</v>
      </c>
      <c r="F40" s="117" t="n">
        <v>46162</v>
      </c>
      <c r="H40" s="112" t="inlineStr">
        <is>
          <t>弗迪26-2次级</t>
        </is>
      </c>
      <c r="I40" s="112" t="n">
        <v>61000</v>
      </c>
      <c r="K40" s="150" t="n"/>
      <c r="M40" s="112" t="n"/>
    </row>
    <row r="41" hidden="1" s="326">
      <c r="E41" s="117" t="n">
        <v>46136</v>
      </c>
      <c r="F41" s="117" t="n">
        <v>46140</v>
      </c>
      <c r="H41" s="112" t="inlineStr">
        <is>
          <t>启恒2期abs</t>
        </is>
      </c>
      <c r="I41" s="112" t="n"/>
      <c r="J41" s="0" t="n">
        <v>1000</v>
      </c>
      <c r="K41" s="150" t="n">
        <v>0.0588</v>
      </c>
      <c r="M41" s="112" t="inlineStr">
        <is>
          <t>中金</t>
        </is>
      </c>
    </row>
    <row r="42">
      <c r="E42" s="117" t="n"/>
      <c r="F42" s="117" t="n">
        <v>46170</v>
      </c>
      <c r="H42" s="112" t="inlineStr">
        <is>
          <t>尚乘1期abs</t>
        </is>
      </c>
      <c r="I42" s="112" t="n">
        <v>5800</v>
      </c>
      <c r="J42" s="0" t="n">
        <v>2000</v>
      </c>
      <c r="K42" s="150" t="inlineStr">
        <is>
          <t>&gt;5%</t>
        </is>
      </c>
      <c r="M42" s="112" t="inlineStr">
        <is>
          <t>国泰</t>
        </is>
      </c>
      <c r="N42" s="0" t="inlineStr">
        <is>
          <t>苏信2603</t>
        </is>
      </c>
    </row>
    <row r="43">
      <c r="E43" s="117" t="n">
        <v>46164</v>
      </c>
      <c r="F43" s="117" t="n">
        <v>46168</v>
      </c>
      <c r="H43" s="112" t="inlineStr">
        <is>
          <t>盛赢4-3</t>
        </is>
      </c>
      <c r="I43" s="112" t="n"/>
      <c r="J43" s="0" t="n">
        <v>2125</v>
      </c>
      <c r="K43" s="150" t="n">
        <v>0.0455</v>
      </c>
      <c r="M43" s="112" t="n"/>
      <c r="N43" s="0" t="inlineStr">
        <is>
          <t>苏信2603</t>
        </is>
      </c>
    </row>
    <row r="44">
      <c r="E44" s="117" t="n">
        <v>46155</v>
      </c>
      <c r="F44" s="117" t="n">
        <v>46161</v>
      </c>
      <c r="H44" s="112" t="inlineStr">
        <is>
          <t>美团生意贷</t>
        </is>
      </c>
      <c r="I44" s="112" t="n"/>
      <c r="J44" s="0" t="n">
        <v>1000</v>
      </c>
      <c r="K44" s="150" t="n">
        <v>0.047</v>
      </c>
      <c r="M44" s="112" t="n"/>
      <c r="N44" s="0" t="inlineStr">
        <is>
          <t>苏信2603</t>
        </is>
      </c>
      <c r="O44" s="0" t="inlineStr">
        <is>
          <t>搭售2300w</t>
        </is>
      </c>
    </row>
    <row r="45">
      <c r="E45" s="117" t="n"/>
      <c r="F45" s="117" t="inlineStr">
        <is>
          <t>5月中下旬</t>
        </is>
      </c>
      <c r="H45" s="112" t="inlineStr">
        <is>
          <t>浩澜2026-2ABN</t>
        </is>
      </c>
      <c r="I45" s="112" t="n"/>
      <c r="J45" s="0" t="n">
        <v>1000</v>
      </c>
      <c r="K45" s="150" t="n">
        <v>0.0588</v>
      </c>
      <c r="M45" s="112" t="n"/>
    </row>
    <row r="46">
      <c r="E46" s="117" t="n"/>
      <c r="F46" s="117" t="n"/>
      <c r="H46" s="112" t="inlineStr">
        <is>
          <t>蔚能abs次A</t>
        </is>
      </c>
      <c r="I46" s="112" t="n"/>
      <c r="J46" s="0" t="n">
        <v>2000</v>
      </c>
      <c r="K46" s="150" t="n">
        <v>0.08</v>
      </c>
      <c r="M46" s="112" t="inlineStr">
        <is>
          <t>中金</t>
        </is>
      </c>
      <c r="N46" s="0" t="inlineStr">
        <is>
          <t>苏信2603（1000）</t>
        </is>
      </c>
    </row>
    <row r="47">
      <c r="E47" s="117" t="n"/>
      <c r="F47" s="117" t="n">
        <v>46170</v>
      </c>
      <c r="H47" s="112" t="inlineStr">
        <is>
          <t>尚亦2-2</t>
        </is>
      </c>
      <c r="I47" s="112" t="n"/>
      <c r="J47" s="0" t="n">
        <v>3500</v>
      </c>
      <c r="K47" s="150" t="n">
        <v>0.0515</v>
      </c>
      <c r="M47" s="112" t="n"/>
    </row>
    <row r="48">
      <c r="E48" s="117" t="n"/>
      <c r="F48" s="117" t="n"/>
      <c r="H48" s="112" t="n"/>
      <c r="I48" s="112" t="n"/>
      <c r="K48" s="150" t="n"/>
      <c r="M48" s="112" t="n"/>
    </row>
    <row r="50">
      <c r="A50" s="0" t="inlineStr">
        <is>
          <t>新发行：优先级/非不良</t>
        </is>
      </c>
      <c r="B50" s="148" t="inlineStr">
        <is>
          <t>层级</t>
        </is>
      </c>
      <c r="C50" s="148" t="inlineStr">
        <is>
          <t>类型</t>
        </is>
      </c>
      <c r="D50" s="148" t="inlineStr">
        <is>
          <t>一级/二级</t>
        </is>
      </c>
      <c r="E50" s="148" t="inlineStr">
        <is>
          <t>簿记日</t>
        </is>
      </c>
      <c r="F50" s="148" t="inlineStr">
        <is>
          <t>缴款日/交易日</t>
        </is>
      </c>
      <c r="G50" s="148" t="inlineStr">
        <is>
          <t>证券</t>
        </is>
      </c>
      <c r="H50" s="148" t="inlineStr">
        <is>
          <t>项目</t>
        </is>
      </c>
      <c r="I50" s="148" t="inlineStr">
        <is>
          <t>发行规模</t>
        </is>
      </c>
      <c r="J50" s="148" t="inlineStr">
        <is>
          <t>预计投资规模</t>
        </is>
      </c>
      <c r="K50" s="148" t="inlineStr">
        <is>
          <t>收益率</t>
        </is>
      </c>
      <c r="L50" s="148" t="inlineStr">
        <is>
          <t>对接券商</t>
        </is>
      </c>
      <c r="M50" s="148" t="inlineStr">
        <is>
          <t>对接其他人</t>
        </is>
      </c>
      <c r="N50" s="148" t="inlineStr">
        <is>
          <t>预计交易户</t>
        </is>
      </c>
      <c r="O50" s="148" t="inlineStr">
        <is>
          <t>备注</t>
        </is>
      </c>
    </row>
    <row r="51" hidden="1" customFormat="1" s="112">
      <c r="B51" s="112" t="inlineStr">
        <is>
          <t>平层-AAA</t>
        </is>
      </c>
      <c r="C51" s="112" t="inlineStr">
        <is>
          <t>汽车消费</t>
        </is>
      </c>
      <c r="D51" s="112" t="inlineStr">
        <is>
          <t>一级</t>
        </is>
      </c>
      <c r="F51" s="112" t="inlineStr">
        <is>
          <t>待定</t>
        </is>
      </c>
      <c r="H51" s="112" t="inlineStr">
        <is>
          <t>蔚能持有型不动产</t>
        </is>
      </c>
      <c r="J51" s="112" t="n">
        <v>5000</v>
      </c>
      <c r="K51" s="240" t="n">
        <v>0.06</v>
      </c>
      <c r="L51" s="112" t="inlineStr">
        <is>
          <t>中信</t>
        </is>
      </c>
      <c r="M51" s="112" t="inlineStr">
        <is>
          <t>蔚能</t>
        </is>
      </c>
      <c r="N51" s="112" t="inlineStr">
        <is>
          <t>dtj</t>
        </is>
      </c>
    </row>
    <row r="52" hidden="1" s="326">
      <c r="B52" s="257" t="inlineStr">
        <is>
          <t>优先C-A</t>
        </is>
      </c>
      <c r="C52" s="257" t="inlineStr">
        <is>
          <t>消金</t>
        </is>
      </c>
      <c r="D52" s="257" t="inlineStr">
        <is>
          <t>一级</t>
        </is>
      </c>
      <c r="E52" s="260" t="n">
        <v>46057</v>
      </c>
      <c r="F52" s="260" t="n">
        <v>46058</v>
      </c>
      <c r="G52" s="257" t="n"/>
      <c r="H52" s="262" t="inlineStr">
        <is>
          <t>分期乐1号3期</t>
        </is>
      </c>
      <c r="I52" s="257" t="n">
        <v>1500</v>
      </c>
      <c r="J52" s="257" t="n">
        <v>1500</v>
      </c>
      <c r="K52" s="261" t="n">
        <v>0.035</v>
      </c>
      <c r="L52" s="257" t="inlineStr">
        <is>
          <t>国联</t>
        </is>
      </c>
      <c r="M52" s="257" t="inlineStr">
        <is>
          <t>乐信</t>
        </is>
      </c>
      <c r="N52" s="257" t="inlineStr">
        <is>
          <t>元康26</t>
        </is>
      </c>
    </row>
    <row r="53" hidden="1" s="326">
      <c r="B53" s="112" t="inlineStr">
        <is>
          <t>优先A3-AA+</t>
        </is>
      </c>
      <c r="C53" s="112" t="inlineStr">
        <is>
          <t>汽车消费</t>
        </is>
      </c>
      <c r="D53" s="112" t="inlineStr">
        <is>
          <t>一级</t>
        </is>
      </c>
      <c r="E53" s="110" t="n">
        <v>46030</v>
      </c>
      <c r="F53" s="110" t="n">
        <v>46034</v>
      </c>
      <c r="G53" s="112" t="n"/>
      <c r="H53" s="188" t="inlineStr">
        <is>
          <t>惠农2号11期</t>
        </is>
      </c>
      <c r="I53" s="112" t="n">
        <v>7400</v>
      </c>
      <c r="J53" s="112" t="n">
        <v>1000</v>
      </c>
      <c r="K53" s="112" t="inlineStr">
        <is>
          <t>3.1%-3.3%</t>
        </is>
      </c>
      <c r="L53" s="112" t="inlineStr">
        <is>
          <t>中信</t>
        </is>
      </c>
      <c r="M53" s="112" t="inlineStr">
        <is>
          <t>狮桥</t>
        </is>
      </c>
      <c r="N53" s="112" t="inlineStr">
        <is>
          <t>渣打代投</t>
        </is>
      </c>
      <c r="O53" s="112" t="inlineStr">
        <is>
          <t>未中</t>
        </is>
      </c>
    </row>
    <row r="54" hidden="1" customFormat="1" s="112">
      <c r="B54" s="112" t="inlineStr">
        <is>
          <t>优先A-AAA</t>
        </is>
      </c>
      <c r="C54" s="112" t="inlineStr">
        <is>
          <t>消金</t>
        </is>
      </c>
      <c r="D54" s="112" t="inlineStr">
        <is>
          <t>二级</t>
        </is>
      </c>
      <c r="F54" s="293" t="n">
        <v>46083</v>
      </c>
      <c r="H54" s="112" t="inlineStr">
        <is>
          <t>海云3A</t>
        </is>
      </c>
      <c r="J54" s="112" t="n">
        <v>1900</v>
      </c>
      <c r="K54" s="189" t="n">
        <v>0.0327</v>
      </c>
      <c r="L54" s="112" t="inlineStr">
        <is>
          <t>国金</t>
        </is>
      </c>
      <c r="N54" s="112" t="inlineStr">
        <is>
          <t>苏信户</t>
        </is>
      </c>
    </row>
    <row r="55" hidden="1" customFormat="1" s="112">
      <c r="B55" s="112" t="inlineStr">
        <is>
          <t>夹层-AA+</t>
        </is>
      </c>
      <c r="C55" s="112" t="inlineStr">
        <is>
          <t>汽车消费</t>
        </is>
      </c>
      <c r="D55" s="112" t="inlineStr">
        <is>
          <t>一级</t>
        </is>
      </c>
      <c r="H55" s="112" t="inlineStr">
        <is>
          <t>蔚能A3</t>
        </is>
      </c>
      <c r="I55" s="112" t="n">
        <v>25000</v>
      </c>
      <c r="J55" s="561" t="n">
        <v>10000</v>
      </c>
      <c r="K55" s="755" t="n">
        <v>0.05</v>
      </c>
      <c r="M55" s="112" t="inlineStr">
        <is>
          <t>蔚能</t>
        </is>
      </c>
      <c r="N55" s="112" t="inlineStr">
        <is>
          <t>渣打代拿5000w，苏信A3-4000w；中建投2500w A3+2500wA2</t>
        </is>
      </c>
    </row>
    <row r="56" hidden="1" customFormat="1" s="112">
      <c r="H56" s="112" t="inlineStr">
        <is>
          <t>蔚能优B</t>
        </is>
      </c>
      <c r="I56" s="112" t="n">
        <v>18000</v>
      </c>
      <c r="K56" s="755" t="n">
        <v>0.058</v>
      </c>
      <c r="N56" s="112" t="inlineStr">
        <is>
          <t>优B-苏信次级户7000w+元康28-2000w，渣打代拿1-2000w</t>
        </is>
      </c>
    </row>
    <row r="57" hidden="1" s="326">
      <c r="K57" s="146" t="n"/>
    </row>
    <row r="58">
      <c r="B58" s="0" t="inlineStr">
        <is>
          <t>夹层-AA+</t>
        </is>
      </c>
      <c r="C58" s="0" t="inlineStr">
        <is>
          <t>小微</t>
        </is>
      </c>
      <c r="D58" s="0" t="inlineStr">
        <is>
          <t>一级</t>
        </is>
      </c>
      <c r="F58" s="117" t="inlineStr">
        <is>
          <t>6月初</t>
        </is>
      </c>
      <c r="H58" s="0" t="inlineStr">
        <is>
          <t>远东普惠A2</t>
        </is>
      </c>
      <c r="J58" s="0" t="n">
        <v>4000</v>
      </c>
      <c r="K58" s="150" t="n">
        <v>0.028</v>
      </c>
      <c r="M58" s="0" t="inlineStr">
        <is>
          <t>远东普惠</t>
        </is>
      </c>
      <c r="N58" s="0" t="inlineStr">
        <is>
          <t>苏信次级2000w+中建投2000w</t>
        </is>
      </c>
    </row>
    <row r="59" hidden="1" s="326">
      <c r="B59" s="257" t="inlineStr">
        <is>
          <t>夹层-AA+</t>
        </is>
      </c>
      <c r="C59" s="257" t="inlineStr">
        <is>
          <t>汽车消费</t>
        </is>
      </c>
      <c r="D59" s="257" t="inlineStr">
        <is>
          <t>一级</t>
        </is>
      </c>
      <c r="E59" s="257" t="n"/>
      <c r="F59" s="260" t="n">
        <v>46065</v>
      </c>
      <c r="G59" s="257" t="n"/>
      <c r="H59" s="257" t="inlineStr">
        <is>
          <t>小鹏abs夹层</t>
        </is>
      </c>
      <c r="I59" s="257" t="n"/>
      <c r="J59" s="257" t="n">
        <v>2000</v>
      </c>
      <c r="K59" s="261" t="n">
        <v>0.033</v>
      </c>
      <c r="L59" s="257" t="n"/>
      <c r="M59" s="257" t="n"/>
      <c r="N59" s="257" t="inlineStr">
        <is>
          <t>yuank 26</t>
        </is>
      </c>
    </row>
    <row r="60" hidden="1" customFormat="1" s="112">
      <c r="B60" s="112" t="inlineStr">
        <is>
          <t>夹层-AA+</t>
        </is>
      </c>
      <c r="C60" s="112" t="inlineStr">
        <is>
          <t>对公租赁</t>
        </is>
      </c>
      <c r="D60" s="112" t="inlineStr">
        <is>
          <t>一级</t>
        </is>
      </c>
      <c r="F60" s="112" t="inlineStr">
        <is>
          <t>3月中上旬</t>
        </is>
      </c>
      <c r="H60" s="112" t="inlineStr">
        <is>
          <t>远东租赁2026-3absA2</t>
        </is>
      </c>
      <c r="L60" s="112" t="inlineStr">
        <is>
          <t>中金李欣月</t>
        </is>
      </c>
      <c r="M60" s="112" t="inlineStr">
        <is>
          <t>远东租赁</t>
        </is>
      </c>
      <c r="O60" s="112" t="inlineStr">
        <is>
          <t>不拿</t>
        </is>
      </c>
    </row>
    <row r="61" hidden="1" customFormat="1" s="112">
      <c r="B61" s="112" t="inlineStr">
        <is>
          <t>夹层-AA+</t>
        </is>
      </c>
      <c r="C61" s="112" t="inlineStr">
        <is>
          <t>对公租赁</t>
        </is>
      </c>
      <c r="D61" s="112" t="inlineStr">
        <is>
          <t>一级</t>
        </is>
      </c>
      <c r="E61" s="110" t="n">
        <v>46079</v>
      </c>
      <c r="F61" s="110" t="n">
        <v>46083</v>
      </c>
      <c r="H61" s="112" t="inlineStr">
        <is>
          <t>德银3期优先B</t>
        </is>
      </c>
      <c r="I61" s="112" t="n">
        <v>1600</v>
      </c>
      <c r="J61" s="112" t="n">
        <v>200</v>
      </c>
      <c r="K61" s="189" t="n">
        <v>0.034</v>
      </c>
      <c r="L61" s="112" t="inlineStr">
        <is>
          <t>华鑫证券</t>
        </is>
      </c>
      <c r="N61" s="112" t="inlineStr">
        <is>
          <t>元康26号</t>
        </is>
      </c>
    </row>
    <row r="62" hidden="1" customFormat="1" s="112">
      <c r="B62" s="112" t="inlineStr">
        <is>
          <t>夹层-AA+</t>
        </is>
      </c>
      <c r="C62" s="112" t="inlineStr">
        <is>
          <t>小微租赁</t>
        </is>
      </c>
      <c r="D62" s="112" t="inlineStr">
        <is>
          <t>一级</t>
        </is>
      </c>
      <c r="E62" s="110" t="n"/>
      <c r="F62" s="112" t="inlineStr">
        <is>
          <t>3月初</t>
        </is>
      </c>
      <c r="H62" s="112" t="inlineStr">
        <is>
          <t>欧士力夹层</t>
        </is>
      </c>
      <c r="J62" s="112" t="n">
        <v>500</v>
      </c>
      <c r="K62" s="189" t="n">
        <v>0.03</v>
      </c>
      <c r="L62" s="112" t="inlineStr">
        <is>
          <t>天风</t>
        </is>
      </c>
      <c r="N62" s="112" t="inlineStr">
        <is>
          <t>苏信户</t>
        </is>
      </c>
    </row>
    <row r="63">
      <c r="E63" s="117" t="n"/>
      <c r="F63" s="0" t="inlineStr">
        <is>
          <t>待定</t>
        </is>
      </c>
      <c r="H63" s="0" t="inlineStr">
        <is>
          <t>普洛斯夹层</t>
        </is>
      </c>
      <c r="K63" s="150" t="n"/>
      <c r="L63" s="0" t="inlineStr">
        <is>
          <t>天风</t>
        </is>
      </c>
    </row>
    <row r="64" hidden="1" s="326">
      <c r="E64" s="117" t="n"/>
      <c r="H64" s="0" t="inlineStr">
        <is>
          <t>盈峰车险</t>
        </is>
      </c>
      <c r="K64" s="150" t="n">
        <v>0.025</v>
      </c>
      <c r="L64" s="0" t="inlineStr">
        <is>
          <t>天风</t>
        </is>
      </c>
    </row>
    <row r="65" hidden="1" s="326">
      <c r="B65" s="0" t="inlineStr">
        <is>
          <t>夹层-AA+</t>
        </is>
      </c>
      <c r="C65" s="0" t="inlineStr">
        <is>
          <t>对公租赁</t>
        </is>
      </c>
      <c r="D65" s="0" t="inlineStr">
        <is>
          <t>一级</t>
        </is>
      </c>
      <c r="E65" s="117" t="n">
        <v>46126</v>
      </c>
      <c r="F65" s="117" t="n">
        <v>46128</v>
      </c>
      <c r="H65" s="0" t="inlineStr">
        <is>
          <t>诚远3期优先B</t>
        </is>
      </c>
      <c r="I65" s="0" t="n">
        <v>3000</v>
      </c>
      <c r="J65" s="0" t="n">
        <v>1500</v>
      </c>
      <c r="K65" s="150" t="n">
        <v>0.031</v>
      </c>
      <c r="L65" s="0" t="inlineStr">
        <is>
          <t>首创/财达/国金</t>
        </is>
      </c>
      <c r="O65" s="0" t="inlineStr">
        <is>
          <t>1500w优B，渣打，后续给苏信优先级或新户；</t>
        </is>
      </c>
    </row>
    <row r="66" hidden="1" customFormat="1" s="112">
      <c r="B66" s="112" t="inlineStr">
        <is>
          <t>夹层-AA+</t>
        </is>
      </c>
      <c r="C66" s="112" t="inlineStr">
        <is>
          <t>汽车消费</t>
        </is>
      </c>
      <c r="D66" s="112" t="inlineStr">
        <is>
          <t>一级</t>
        </is>
      </c>
      <c r="E66" s="110" t="n">
        <v>46086</v>
      </c>
      <c r="F66" s="110" t="n">
        <v>46090</v>
      </c>
      <c r="H66" s="112" t="inlineStr">
        <is>
          <t>鑫驰4期</t>
        </is>
      </c>
      <c r="I66" s="112" t="n">
        <v>11200</v>
      </c>
      <c r="J66" s="112" t="n">
        <v>4000</v>
      </c>
      <c r="K66" s="189" t="n">
        <v>0.0315</v>
      </c>
      <c r="L66" s="112" t="inlineStr">
        <is>
          <t>天风</t>
        </is>
      </c>
      <c r="N66" s="112" t="inlineStr">
        <is>
          <t>1000w中建投，2000w苏信。1000w渣打</t>
        </is>
      </c>
    </row>
    <row r="67" hidden="1" s="326">
      <c r="B67" s="0" t="inlineStr">
        <is>
          <t>夹层-AA+</t>
        </is>
      </c>
      <c r="C67" s="0" t="inlineStr">
        <is>
          <t>央企供应链</t>
        </is>
      </c>
      <c r="D67" s="0" t="inlineStr">
        <is>
          <t>一级</t>
        </is>
      </c>
      <c r="E67" s="117" t="n"/>
      <c r="F67" s="117" t="inlineStr">
        <is>
          <t>4月上旬</t>
        </is>
      </c>
      <c r="H67" s="0" t="inlineStr">
        <is>
          <t>国金保理第二期</t>
        </is>
      </c>
      <c r="I67" s="0" t="n">
        <v>3000</v>
      </c>
      <c r="K67" s="150" t="inlineStr">
        <is>
          <t>3.5%-3.8%</t>
        </is>
      </c>
      <c r="L67" s="0" t="inlineStr">
        <is>
          <t>天风</t>
        </is>
      </c>
    </row>
    <row r="68" hidden="1" customFormat="1" s="112">
      <c r="B68" s="112" t="inlineStr">
        <is>
          <t>夹层-AA+</t>
        </is>
      </c>
      <c r="C68" s="112" t="inlineStr">
        <is>
          <t>小微</t>
        </is>
      </c>
      <c r="D68" s="112" t="inlineStr">
        <is>
          <t>一级</t>
        </is>
      </c>
      <c r="E68" s="110" t="n">
        <v>46129</v>
      </c>
      <c r="F68" s="110" t="n">
        <v>46133</v>
      </c>
      <c r="H68" s="112" t="inlineStr">
        <is>
          <t>晨惠2期</t>
        </is>
      </c>
      <c r="J68" s="112" t="n">
        <v>700</v>
      </c>
      <c r="K68" s="189" t="n">
        <v>0.03</v>
      </c>
      <c r="M68" s="112" t="inlineStr">
        <is>
          <t>金城</t>
        </is>
      </c>
      <c r="N68" s="112" t="inlineStr">
        <is>
          <t>苏信2501</t>
        </is>
      </c>
      <c r="P68" s="112" t="inlineStr">
        <is>
          <t>平安证券</t>
        </is>
      </c>
    </row>
    <row r="69" hidden="1" customFormat="1" s="112">
      <c r="B69" s="112" t="inlineStr">
        <is>
          <t>夹层-AA+</t>
        </is>
      </c>
      <c r="C69" s="112" t="inlineStr">
        <is>
          <t>消金</t>
        </is>
      </c>
      <c r="D69" s="112" t="inlineStr">
        <is>
          <t>一级</t>
        </is>
      </c>
      <c r="E69" s="110" t="n"/>
      <c r="F69" s="110" t="n"/>
      <c r="H69" s="112" t="inlineStr">
        <is>
          <t>国联-奇富小贷消费2号2期优先B</t>
        </is>
      </c>
      <c r="I69" s="112" t="n">
        <v>4000</v>
      </c>
      <c r="J69" s="112" t="n">
        <v>1900</v>
      </c>
      <c r="K69" s="189" t="n">
        <v>0.028</v>
      </c>
      <c r="M69" s="112" t="inlineStr">
        <is>
          <t>国联</t>
        </is>
      </c>
      <c r="N69" s="112" t="inlineStr">
        <is>
          <t>元康26号</t>
        </is>
      </c>
    </row>
    <row r="70" hidden="1" s="326">
      <c r="B70" s="0" t="inlineStr">
        <is>
          <t>夹层-AA+</t>
        </is>
      </c>
      <c r="C70" s="0" t="inlineStr">
        <is>
          <t>消金</t>
        </is>
      </c>
      <c r="D70" s="0" t="inlineStr">
        <is>
          <t>一级</t>
        </is>
      </c>
      <c r="E70" s="117" t="n"/>
      <c r="F70" s="117" t="n">
        <v>46125</v>
      </c>
      <c r="H70" s="112" t="inlineStr">
        <is>
          <t>国联-奇富小贷消费2号1期</t>
        </is>
      </c>
      <c r="I70" s="112" t="n">
        <v>3400</v>
      </c>
      <c r="K70" s="150" t="n">
        <v>0.028</v>
      </c>
      <c r="M70" s="0" t="inlineStr">
        <is>
          <t>国联</t>
        </is>
      </c>
    </row>
    <row r="71" hidden="1" s="326">
      <c r="B71" s="0" t="inlineStr">
        <is>
          <t>夹层-AA+</t>
        </is>
      </c>
      <c r="C71" s="0" t="inlineStr">
        <is>
          <t>消金</t>
        </is>
      </c>
      <c r="D71" s="0" t="inlineStr">
        <is>
          <t>一级</t>
        </is>
      </c>
      <c r="E71" s="117" t="n">
        <v>46132</v>
      </c>
      <c r="F71" s="117" t="n">
        <v>46134</v>
      </c>
      <c r="H71" s="112" t="inlineStr">
        <is>
          <t>国联-奇富小贷消费2号2期</t>
        </is>
      </c>
      <c r="I71" s="112" t="n">
        <v>5700</v>
      </c>
      <c r="K71" s="150" t="n">
        <v>0.028</v>
      </c>
      <c r="M71" s="0" t="inlineStr">
        <is>
          <t>国联</t>
        </is>
      </c>
    </row>
    <row r="72">
      <c r="B72" s="0" t="inlineStr">
        <is>
          <t>夹层-AA+</t>
        </is>
      </c>
      <c r="C72" s="0" t="inlineStr">
        <is>
          <t>医药供应链</t>
        </is>
      </c>
      <c r="D72" s="0" t="inlineStr">
        <is>
          <t>一级</t>
        </is>
      </c>
      <c r="E72" s="117" t="n">
        <v>46156</v>
      </c>
      <c r="F72" s="117" t="n">
        <v>46160</v>
      </c>
      <c r="H72" s="112" t="inlineStr">
        <is>
          <t>财通资管-国健租赁第11期</t>
        </is>
      </c>
      <c r="I72" s="112" t="n">
        <v>5500</v>
      </c>
      <c r="K72" s="150" t="inlineStr">
        <is>
          <t>3.1%-3.8%</t>
        </is>
      </c>
      <c r="M72" s="0" t="inlineStr">
        <is>
          <t>财通</t>
        </is>
      </c>
    </row>
    <row r="73">
      <c r="B73" s="0" t="inlineStr">
        <is>
          <t>次级</t>
        </is>
      </c>
      <c r="C73" s="0" t="inlineStr">
        <is>
          <t>金采</t>
        </is>
      </c>
      <c r="D73" s="0" t="inlineStr">
        <is>
          <t>一级</t>
        </is>
      </c>
      <c r="E73" s="117" t="n">
        <v>46161</v>
      </c>
      <c r="F73" s="117" t="n">
        <v>46163</v>
      </c>
      <c r="H73" s="112" t="inlineStr">
        <is>
          <t>金采8-1夹层</t>
        </is>
      </c>
      <c r="I73" s="112" t="n"/>
      <c r="J73" s="0" t="n">
        <v>1000</v>
      </c>
      <c r="K73" s="150" t="n">
        <v>0.031</v>
      </c>
      <c r="M73" s="112" t="inlineStr">
        <is>
          <t>华泰</t>
        </is>
      </c>
      <c r="N73" s="0" t="inlineStr">
        <is>
          <t>苏信2603</t>
        </is>
      </c>
    </row>
    <row r="74" hidden="1" customFormat="1" s="112">
      <c r="B74" s="112" t="inlineStr">
        <is>
          <t>夹层-AA+</t>
        </is>
      </c>
      <c r="C74" s="112" t="inlineStr">
        <is>
          <t>汽车消费</t>
        </is>
      </c>
      <c r="D74" s="112" t="inlineStr">
        <is>
          <t>一级</t>
        </is>
      </c>
      <c r="E74" s="110" t="n">
        <v>46132</v>
      </c>
      <c r="F74" s="110" t="n">
        <v>46134</v>
      </c>
      <c r="H74" s="112" t="inlineStr">
        <is>
          <t>鑫驰5期</t>
        </is>
      </c>
      <c r="I74" s="112" t="n">
        <v>16700</v>
      </c>
      <c r="J74" s="112">
        <f>2200+500+2000</f>
        <v/>
      </c>
      <c r="K74" s="189" t="n">
        <v>0.0315</v>
      </c>
      <c r="M74" s="112" t="inlineStr">
        <is>
          <t>天风</t>
        </is>
      </c>
    </row>
    <row r="75" hidden="1" s="326">
      <c r="E75" s="117" t="n">
        <v>46136</v>
      </c>
      <c r="F75" s="117" t="n">
        <v>46140</v>
      </c>
      <c r="H75" s="112" t="inlineStr">
        <is>
          <t>启恒2期abs</t>
        </is>
      </c>
      <c r="I75" s="112" t="n"/>
      <c r="J75" s="0" t="n">
        <v>1000</v>
      </c>
      <c r="K75" s="150" t="n">
        <v>0.03</v>
      </c>
      <c r="M75" s="112" t="inlineStr">
        <is>
          <t>中金</t>
        </is>
      </c>
    </row>
    <row r="76">
      <c r="E76" s="117" t="inlineStr">
        <is>
          <t>6月</t>
        </is>
      </c>
      <c r="F76" s="117" t="inlineStr">
        <is>
          <t>6月</t>
        </is>
      </c>
      <c r="H76" s="112" t="inlineStr">
        <is>
          <t>乐信1-4优B</t>
        </is>
      </c>
      <c r="I76" s="112" t="n">
        <v>3600</v>
      </c>
      <c r="K76" s="150" t="inlineStr">
        <is>
          <t>3-3.5%</t>
        </is>
      </c>
      <c r="M76" s="112" t="n"/>
    </row>
    <row r="77">
      <c r="E77" s="117" t="inlineStr">
        <is>
          <t>6月</t>
        </is>
      </c>
      <c r="F77" s="117" t="inlineStr">
        <is>
          <t>6月</t>
        </is>
      </c>
      <c r="H77" s="112" t="inlineStr">
        <is>
          <t>乐信1-4优C</t>
        </is>
      </c>
      <c r="I77" s="112" t="n">
        <v>1900</v>
      </c>
      <c r="K77" s="150" t="inlineStr">
        <is>
          <t>3.5-4%</t>
        </is>
      </c>
      <c r="M77" s="112" t="n"/>
    </row>
    <row r="78" hidden="1" s="326">
      <c r="E78" s="117" t="n">
        <v>46148</v>
      </c>
      <c r="F78" s="117" t="n">
        <v>46150</v>
      </c>
      <c r="H78" s="112" t="inlineStr">
        <is>
          <t>耘睿21号第4期优B</t>
        </is>
      </c>
      <c r="I78" s="112" t="n"/>
      <c r="K78" s="150" t="inlineStr">
        <is>
          <t>2%左右</t>
        </is>
      </c>
      <c r="M78" s="112" t="inlineStr">
        <is>
          <t>国金，中信</t>
        </is>
      </c>
    </row>
    <row r="79">
      <c r="E79" s="117" t="n"/>
      <c r="F79" s="117" t="inlineStr">
        <is>
          <t>6月份</t>
        </is>
      </c>
      <c r="H79" s="112" t="inlineStr">
        <is>
          <t>天风-圆通小贷中小微企业融资支持资产支持专项计划</t>
        </is>
      </c>
      <c r="I79" s="112" t="n"/>
      <c r="K79" s="150" t="n"/>
      <c r="M79" s="112" t="n"/>
    </row>
    <row r="80">
      <c r="E80" s="117" t="n"/>
      <c r="F80" s="117" t="inlineStr">
        <is>
          <t>5月下旬</t>
        </is>
      </c>
      <c r="H80" s="112" t="inlineStr">
        <is>
          <t>诚瑞4期ABS</t>
        </is>
      </c>
      <c r="I80" s="112" t="n">
        <v>8000</v>
      </c>
      <c r="J80" s="0" t="n">
        <v>3000</v>
      </c>
      <c r="K80" s="150" t="n">
        <v>0.03</v>
      </c>
      <c r="M80" s="112" t="n"/>
    </row>
    <row r="81">
      <c r="E81" s="117" t="n"/>
      <c r="F81" s="117" t="n">
        <v>46170</v>
      </c>
      <c r="H81" s="112" t="inlineStr">
        <is>
          <t>尚乘1期abs</t>
        </is>
      </c>
      <c r="I81" s="112" t="n">
        <v>7500</v>
      </c>
      <c r="J81" s="0" t="n">
        <v>2000</v>
      </c>
      <c r="K81" s="150" t="n">
        <v>0.032</v>
      </c>
      <c r="M81" s="112" t="inlineStr">
        <is>
          <t>国泰</t>
        </is>
      </c>
      <c r="N81" s="0" t="inlineStr">
        <is>
          <t>苏信2603</t>
        </is>
      </c>
    </row>
    <row r="82">
      <c r="E82" s="117" t="n"/>
      <c r="F82" s="117" t="inlineStr">
        <is>
          <t>5月底</t>
        </is>
      </c>
      <c r="H82" s="112" t="inlineStr">
        <is>
          <t>蔚能ABS2期优A5</t>
        </is>
      </c>
      <c r="I82" s="112" t="n"/>
      <c r="J82" s="0" t="n">
        <v>4000</v>
      </c>
      <c r="K82" s="150" t="n"/>
      <c r="M82" s="112" t="inlineStr">
        <is>
          <t>中金</t>
        </is>
      </c>
      <c r="N82" s="0" t="inlineStr">
        <is>
          <t>苏信2603（2000）</t>
        </is>
      </c>
    </row>
    <row r="83" hidden="1" customFormat="1" s="112">
      <c r="E83" s="110" t="n">
        <v>46160</v>
      </c>
      <c r="F83" s="110" t="n">
        <v>46162</v>
      </c>
      <c r="H83" s="112" t="inlineStr">
        <is>
          <t>尚赢2-6</t>
        </is>
      </c>
      <c r="J83" s="112" t="n">
        <v>2000</v>
      </c>
      <c r="K83" s="189" t="n">
        <v>0.031</v>
      </c>
      <c r="N83" s="112" t="inlineStr">
        <is>
          <t>苏信2603</t>
        </is>
      </c>
    </row>
    <row r="84">
      <c r="E84" s="117" t="n">
        <v>46168</v>
      </c>
      <c r="F84" s="117" t="n">
        <v>46170</v>
      </c>
      <c r="H84" s="112" t="inlineStr">
        <is>
          <t>启赢3-3银行间</t>
        </is>
      </c>
      <c r="I84" s="112" t="n"/>
      <c r="J84" s="0" t="n">
        <v>2000</v>
      </c>
      <c r="K84" s="150" t="n">
        <v>0.031</v>
      </c>
      <c r="M84" s="112" t="n"/>
    </row>
    <row r="85">
      <c r="E85" s="117" t="n"/>
      <c r="F85" s="117" t="inlineStr">
        <is>
          <t>6月</t>
        </is>
      </c>
      <c r="H85" s="112" t="inlineStr">
        <is>
          <t>蔚能持有型不动产2期</t>
        </is>
      </c>
      <c r="I85" s="112" t="n"/>
      <c r="K85" s="150" t="n"/>
      <c r="M85" s="112" t="n"/>
    </row>
    <row r="86">
      <c r="E86" s="117" t="n">
        <v>46188</v>
      </c>
      <c r="F86" s="117" t="n">
        <v>46190</v>
      </c>
      <c r="H86" s="112" t="inlineStr">
        <is>
          <t>国联-奇富小贷消费2号3期</t>
        </is>
      </c>
      <c r="I86" s="112" t="n">
        <v>4400</v>
      </c>
      <c r="J86" s="0" t="n">
        <v>2000</v>
      </c>
      <c r="K86" s="150" t="n">
        <v>0.028</v>
      </c>
      <c r="M86" s="112" t="inlineStr">
        <is>
          <t>国联</t>
        </is>
      </c>
    </row>
    <row r="87">
      <c r="E87" s="117" t="n"/>
      <c r="F87" s="117" t="inlineStr">
        <is>
          <t>6月上旬</t>
        </is>
      </c>
      <c r="H87" s="112" t="inlineStr">
        <is>
          <t>畅途ABN26-3优先B</t>
        </is>
      </c>
      <c r="I87" s="112" t="n">
        <v>14000</v>
      </c>
      <c r="K87" s="150" t="inlineStr">
        <is>
          <t>3%出头</t>
        </is>
      </c>
      <c r="M87" s="112" t="n"/>
    </row>
    <row r="88">
      <c r="E88" s="117" t="n">
        <v>46168</v>
      </c>
      <c r="F88" s="117" t="n">
        <v>46171</v>
      </c>
      <c r="H88" s="112" t="inlineStr">
        <is>
          <t>炽诚1号6期</t>
        </is>
      </c>
      <c r="I88" s="112" t="n"/>
      <c r="K88" s="150" t="n">
        <v>0.035</v>
      </c>
      <c r="M88" s="112" t="inlineStr">
        <is>
          <t>中德</t>
        </is>
      </c>
    </row>
    <row r="89">
      <c r="E89" s="117" t="n">
        <v>46175</v>
      </c>
      <c r="F89" s="117" t="n">
        <v>46178</v>
      </c>
      <c r="H89" s="112" t="inlineStr">
        <is>
          <t>炽诚1号7期</t>
        </is>
      </c>
      <c r="I89" s="112" t="n"/>
      <c r="K89" s="150" t="n">
        <v>0.035</v>
      </c>
      <c r="M89" s="112" t="inlineStr">
        <is>
          <t>中德</t>
        </is>
      </c>
    </row>
    <row r="90">
      <c r="E90" s="117" t="n"/>
      <c r="F90" s="117" t="n"/>
      <c r="H90" s="112" t="n"/>
      <c r="I90" s="112" t="n"/>
      <c r="K90" s="150" t="n"/>
      <c r="M90" s="112" t="n"/>
    </row>
    <row r="91">
      <c r="E91" s="117" t="n"/>
      <c r="F91" s="117" t="n"/>
      <c r="H91" s="112" t="n"/>
      <c r="I91" s="112" t="n"/>
      <c r="K91" s="150" t="n"/>
      <c r="M91" s="112" t="n"/>
    </row>
    <row r="93">
      <c r="A93" s="0" t="inlineStr">
        <is>
          <t>新发行：次级/不良（含搭售）</t>
        </is>
      </c>
      <c r="B93" s="149" t="inlineStr">
        <is>
          <t>层级</t>
        </is>
      </c>
      <c r="C93" s="149" t="inlineStr">
        <is>
          <t>类型</t>
        </is>
      </c>
      <c r="D93" s="149" t="inlineStr">
        <is>
          <t>一级/二级</t>
        </is>
      </c>
      <c r="E93" s="149" t="inlineStr">
        <is>
          <t>簿记日</t>
        </is>
      </c>
      <c r="F93" s="149" t="inlineStr">
        <is>
          <t>缴款日/交易日</t>
        </is>
      </c>
      <c r="G93" s="149" t="inlineStr">
        <is>
          <t>证券</t>
        </is>
      </c>
      <c r="H93" s="149" t="inlineStr">
        <is>
          <t>项目</t>
        </is>
      </c>
      <c r="I93" s="149" t="inlineStr">
        <is>
          <t>发行规模</t>
        </is>
      </c>
      <c r="J93" s="149" t="inlineStr">
        <is>
          <t>预计投资规模</t>
        </is>
      </c>
      <c r="K93" s="149" t="inlineStr">
        <is>
          <t>收益率</t>
        </is>
      </c>
      <c r="L93" s="149" t="inlineStr">
        <is>
          <t>对接券商</t>
        </is>
      </c>
      <c r="M93" s="149" t="inlineStr">
        <is>
          <t>对接其他人</t>
        </is>
      </c>
      <c r="N93" s="149" t="inlineStr">
        <is>
          <t>预计交易户</t>
        </is>
      </c>
      <c r="O93" s="149" t="inlineStr">
        <is>
          <t>备注</t>
        </is>
      </c>
      <c r="R93" s="149" t="n"/>
    </row>
    <row r="94">
      <c r="F94" s="0" t="inlineStr">
        <is>
          <t>1-26之前</t>
        </is>
      </c>
      <c r="G94" s="0" t="inlineStr">
        <is>
          <t>20建鑫6C</t>
        </is>
      </c>
      <c r="J94" s="0" t="n">
        <v>900</v>
      </c>
      <c r="M94" s="0" t="inlineStr">
        <is>
          <t>建信信托</t>
        </is>
      </c>
    </row>
    <row r="95">
      <c r="G95" s="0" t="inlineStr">
        <is>
          <t>23建鑫4C</t>
        </is>
      </c>
      <c r="J95" s="0" t="n">
        <v>1171</v>
      </c>
    </row>
    <row r="96">
      <c r="G96" s="0" t="inlineStr">
        <is>
          <t>21工元至诚5C</t>
        </is>
      </c>
      <c r="J96" s="0" t="n">
        <v>4000</v>
      </c>
      <c r="M96" s="0" t="inlineStr">
        <is>
          <t>银河</t>
        </is>
      </c>
    </row>
    <row r="97">
      <c r="G97" s="0" t="inlineStr">
        <is>
          <t>21邮赢惠泽2C</t>
        </is>
      </c>
      <c r="J97" s="0" t="n">
        <v>500</v>
      </c>
      <c r="P97" s="0" t="inlineStr">
        <is>
          <t>走的券商</t>
        </is>
      </c>
    </row>
    <row r="98">
      <c r="G98" s="0" t="inlineStr">
        <is>
          <t>25惠元6C</t>
        </is>
      </c>
      <c r="J98" s="0" t="n">
        <v>646</v>
      </c>
      <c r="M98" s="0" t="inlineStr">
        <is>
          <t>银河</t>
        </is>
      </c>
    </row>
    <row r="101" customFormat="1" s="297">
      <c r="B101" s="297" t="inlineStr">
        <is>
          <t>次级</t>
        </is>
      </c>
      <c r="C101" s="297" t="inlineStr">
        <is>
          <t>不良信用卡</t>
        </is>
      </c>
      <c r="D101" s="297" t="inlineStr">
        <is>
          <t>一级</t>
        </is>
      </c>
      <c r="E101" s="493" t="n">
        <v>46105</v>
      </c>
      <c r="F101" s="493" t="n">
        <v>46107</v>
      </c>
      <c r="G101" s="297" t="inlineStr">
        <is>
          <t>兴瑞26-1</t>
        </is>
      </c>
      <c r="I101" s="297" t="inlineStr">
        <is>
          <t>0.82/0.34</t>
        </is>
      </c>
      <c r="J101" s="756" t="n">
        <v>0</v>
      </c>
      <c r="K101" s="297" t="n">
        <v>108</v>
      </c>
      <c r="L101" s="297" t="inlineStr">
        <is>
          <t>招证、兴业、中信、国君</t>
        </is>
      </c>
      <c r="O101" s="297" t="inlineStr">
        <is>
          <t>搭售，有材料，未安排</t>
        </is>
      </c>
      <c r="P101" s="297" t="inlineStr">
        <is>
          <t>兴业</t>
        </is>
      </c>
      <c r="Q101" s="297" t="inlineStr">
        <is>
          <t>王笛</t>
        </is>
      </c>
      <c r="R101" s="297" t="inlineStr">
        <is>
          <t>韩亚2470;2.08%</t>
        </is>
      </c>
      <c r="S101" s="297" t="inlineStr">
        <is>
          <t>107及时清仓；券商敏感性有问题-超额递增</t>
        </is>
      </c>
    </row>
    <row r="102" customFormat="1" s="253">
      <c r="B102" s="253" t="inlineStr">
        <is>
          <t>次级</t>
        </is>
      </c>
      <c r="C102" s="253" t="inlineStr">
        <is>
          <t>不良信用卡</t>
        </is>
      </c>
      <c r="D102" s="253" t="inlineStr">
        <is>
          <t>一级</t>
        </is>
      </c>
      <c r="E102" s="508" t="n"/>
      <c r="F102" s="508" t="inlineStr">
        <is>
          <t>6月份</t>
        </is>
      </c>
      <c r="G102" s="253" t="inlineStr">
        <is>
          <t>兴瑞26-2</t>
        </is>
      </c>
      <c r="I102" s="253" t="inlineStr">
        <is>
          <t>2.2/0.7</t>
        </is>
      </c>
      <c r="J102" s="580" t="n"/>
      <c r="L102" s="253" t="inlineStr">
        <is>
          <t>招证、国泰、兴业、东方</t>
        </is>
      </c>
    </row>
    <row r="103" customFormat="1" s="297">
      <c r="B103" s="297" t="inlineStr">
        <is>
          <t>次级</t>
        </is>
      </c>
      <c r="C103" s="297" t="inlineStr">
        <is>
          <t>不良信用卡</t>
        </is>
      </c>
      <c r="D103" s="297" t="inlineStr">
        <is>
          <t>一级</t>
        </is>
      </c>
      <c r="E103" s="493" t="n">
        <v>46105</v>
      </c>
      <c r="F103" s="493" t="n">
        <v>46106</v>
      </c>
      <c r="G103" s="297" t="inlineStr">
        <is>
          <t>福鑫26-3</t>
        </is>
      </c>
      <c r="I103" s="297" t="inlineStr">
        <is>
          <t>1.93/0.8</t>
        </is>
      </c>
      <c r="J103" s="756" t="n">
        <v>200</v>
      </c>
      <c r="K103" s="297" t="n">
        <v>100</v>
      </c>
      <c r="L103" s="297" t="inlineStr">
        <is>
          <t>招证、光大</t>
        </is>
      </c>
      <c r="O103" s="297" t="inlineStr">
        <is>
          <t>有材料</t>
        </is>
      </c>
      <c r="P103" s="297" t="inlineStr">
        <is>
          <t>招商</t>
        </is>
      </c>
      <c r="Q103" s="297" t="inlineStr">
        <is>
          <t>王笛</t>
        </is>
      </c>
      <c r="S103" s="297" t="inlineStr">
        <is>
          <t>100，尽可能多的拿</t>
        </is>
      </c>
    </row>
    <row r="104" customFormat="1" s="495">
      <c r="B104" s="495" t="inlineStr">
        <is>
          <t>次级</t>
        </is>
      </c>
      <c r="C104" s="495" t="inlineStr">
        <is>
          <t>不良个人经营（房抵）</t>
        </is>
      </c>
      <c r="D104" s="495" t="inlineStr">
        <is>
          <t>一级</t>
        </is>
      </c>
      <c r="E104" s="496" t="n">
        <v>46104</v>
      </c>
      <c r="F104" s="496" t="n">
        <v>46106</v>
      </c>
      <c r="G104" s="495" t="inlineStr">
        <is>
          <t>福鑫26-2</t>
        </is>
      </c>
      <c r="I104" s="495" t="inlineStr">
        <is>
          <t>3.6/1.0</t>
        </is>
      </c>
      <c r="J104" s="757" t="n">
        <v>300</v>
      </c>
      <c r="K104" s="495" t="n">
        <v>100</v>
      </c>
      <c r="L104" s="495" t="inlineStr">
        <is>
          <t>中信</t>
        </is>
      </c>
      <c r="O104" s="495" t="inlineStr">
        <is>
          <t>有材料</t>
        </is>
      </c>
      <c r="P104" s="495" t="inlineStr">
        <is>
          <t>招商</t>
        </is>
      </c>
      <c r="Q104" s="495" t="inlineStr">
        <is>
          <t>王笛</t>
        </is>
      </c>
      <c r="S104" s="495" t="inlineStr">
        <is>
          <t>100，犹豫中，偏好多于26-1</t>
        </is>
      </c>
    </row>
    <row r="105" customFormat="1" s="495">
      <c r="B105" s="495" t="inlineStr">
        <is>
          <t>次级</t>
        </is>
      </c>
      <c r="C105" s="495" t="inlineStr">
        <is>
          <t>不良房贷</t>
        </is>
      </c>
      <c r="D105" s="495" t="inlineStr">
        <is>
          <t>一级</t>
        </is>
      </c>
      <c r="E105" s="496" t="n">
        <v>46104</v>
      </c>
      <c r="F105" s="496" t="n">
        <v>46106</v>
      </c>
      <c r="G105" s="495" t="inlineStr">
        <is>
          <t>福鑫26-1</t>
        </is>
      </c>
      <c r="I105" s="495" t="inlineStr">
        <is>
          <t>2.2/0.6</t>
        </is>
      </c>
      <c r="J105" s="757" t="n">
        <v>200</v>
      </c>
      <c r="K105" s="495" t="n">
        <v>100</v>
      </c>
      <c r="L105" s="495" t="inlineStr">
        <is>
          <t>中信</t>
        </is>
      </c>
      <c r="O105" s="495" t="inlineStr">
        <is>
          <t>有材料</t>
        </is>
      </c>
      <c r="P105" s="495" t="inlineStr">
        <is>
          <t>招商</t>
        </is>
      </c>
      <c r="Q105" s="495" t="inlineStr">
        <is>
          <t>王笛</t>
        </is>
      </c>
      <c r="S105" s="495" t="inlineStr">
        <is>
          <t>100，犹豫中</t>
        </is>
      </c>
    </row>
    <row r="106" customFormat="1" s="297">
      <c r="B106" s="297" t="inlineStr">
        <is>
          <t>次级</t>
        </is>
      </c>
      <c r="C106" s="297" t="inlineStr">
        <is>
          <t>不良信用卡</t>
        </is>
      </c>
      <c r="D106" s="297" t="inlineStr">
        <is>
          <t>一级</t>
        </is>
      </c>
      <c r="E106" s="493" t="n">
        <v>46105</v>
      </c>
      <c r="G106" s="297" t="inlineStr">
        <is>
          <t>招元和萃2026-1</t>
        </is>
      </c>
      <c r="I106" s="297" t="inlineStr">
        <is>
          <t>2/0.72</t>
        </is>
      </c>
      <c r="J106" s="756" t="n">
        <v>0</v>
      </c>
      <c r="K106" s="297" t="n">
        <v>107</v>
      </c>
      <c r="L106" s="297" t="inlineStr">
        <is>
          <t>华泰、招商、建投</t>
        </is>
      </c>
      <c r="O106" s="297" t="inlineStr">
        <is>
          <t>有材料</t>
        </is>
      </c>
      <c r="P106" s="297" t="inlineStr">
        <is>
          <t>华泰</t>
        </is>
      </c>
      <c r="Q106" s="297" t="inlineStr">
        <is>
          <t>王笛</t>
        </is>
      </c>
      <c r="S106" s="297" t="inlineStr">
        <is>
          <t>107左右，估计需要搭售，及时清仓，性价比差</t>
        </is>
      </c>
    </row>
    <row r="107" customFormat="1" s="297">
      <c r="B107" s="297" t="inlineStr">
        <is>
          <t>次级</t>
        </is>
      </c>
      <c r="C107" s="297" t="inlineStr">
        <is>
          <t>不良信用卡</t>
        </is>
      </c>
      <c r="D107" s="297" t="inlineStr">
        <is>
          <t>一级</t>
        </is>
      </c>
      <c r="E107" s="493" t="n">
        <v>46105</v>
      </c>
      <c r="G107" s="297" t="inlineStr">
        <is>
          <t>招元和萃2026-2</t>
        </is>
      </c>
      <c r="J107" s="756" t="n">
        <v>0</v>
      </c>
      <c r="K107" s="297" t="n">
        <v>107</v>
      </c>
      <c r="P107" s="297" t="inlineStr">
        <is>
          <t>国泰</t>
        </is>
      </c>
      <c r="S107" s="297" t="inlineStr">
        <is>
          <t>107左右，估计需要搭售，及时清仓，性价比差</t>
        </is>
      </c>
    </row>
    <row r="108" customFormat="1" s="297">
      <c r="B108" s="297" t="inlineStr">
        <is>
          <t>次级</t>
        </is>
      </c>
      <c r="C108" s="297" t="inlineStr">
        <is>
          <t>不良信用卡</t>
        </is>
      </c>
      <c r="D108" s="297" t="inlineStr">
        <is>
          <t>一级</t>
        </is>
      </c>
      <c r="E108" s="493" t="n">
        <v>46136</v>
      </c>
      <c r="F108" s="297" t="inlineStr">
        <is>
          <t>4-27/28</t>
        </is>
      </c>
      <c r="G108" s="297" t="inlineStr">
        <is>
          <t>招元和萃2026-3</t>
        </is>
      </c>
      <c r="I108" s="297" t="inlineStr">
        <is>
          <t>1.68/0.62</t>
        </is>
      </c>
      <c r="J108" s="756" t="n"/>
      <c r="O108" s="297" t="inlineStr">
        <is>
          <t>有材料</t>
        </is>
      </c>
    </row>
    <row r="109" customFormat="1" s="201">
      <c r="B109" s="201" t="inlineStr">
        <is>
          <t>次级</t>
        </is>
      </c>
      <c r="C109" s="201" t="inlineStr">
        <is>
          <t>不良信用卡</t>
        </is>
      </c>
      <c r="D109" s="201" t="inlineStr">
        <is>
          <t>一级</t>
        </is>
      </c>
      <c r="E109" s="338" t="n">
        <v>46167</v>
      </c>
      <c r="F109" s="201" t="inlineStr">
        <is>
          <t>5.26-27</t>
        </is>
      </c>
      <c r="G109" s="201" t="inlineStr">
        <is>
          <t>招元和萃2026-4</t>
        </is>
      </c>
      <c r="I109" s="201" t="inlineStr">
        <is>
          <t>1.68/0.63</t>
        </is>
      </c>
      <c r="J109" s="615" t="n"/>
      <c r="O109" s="201" t="inlineStr">
        <is>
          <t>有材料</t>
        </is>
      </c>
      <c r="P109" s="201" t="inlineStr">
        <is>
          <t>招商</t>
        </is>
      </c>
      <c r="S109" s="201" t="inlineStr">
        <is>
          <t>不参加</t>
        </is>
      </c>
    </row>
    <row r="110" customFormat="1" s="308">
      <c r="B110" s="308" t="inlineStr">
        <is>
          <t>次级</t>
        </is>
      </c>
      <c r="C110" s="308" t="inlineStr">
        <is>
          <t>不良房贷</t>
        </is>
      </c>
      <c r="D110" s="308" t="inlineStr">
        <is>
          <t>一级</t>
        </is>
      </c>
      <c r="E110" s="469" t="n">
        <v>46167</v>
      </c>
      <c r="F110" s="308" t="inlineStr">
        <is>
          <t>5.26-27</t>
        </is>
      </c>
      <c r="G110" s="308" t="inlineStr">
        <is>
          <t>招元和萃2026-5</t>
        </is>
      </c>
      <c r="I110" s="308" t="inlineStr">
        <is>
          <t>3.04/0.79</t>
        </is>
      </c>
      <c r="J110" s="584" t="n"/>
      <c r="O110" s="308" t="inlineStr">
        <is>
          <t>有材料</t>
        </is>
      </c>
      <c r="P110" s="308" t="inlineStr">
        <is>
          <t>招商</t>
        </is>
      </c>
    </row>
    <row r="111" customFormat="1" s="297">
      <c r="B111" s="297" t="inlineStr">
        <is>
          <t>次级</t>
        </is>
      </c>
      <c r="C111" s="297" t="inlineStr">
        <is>
          <t>不良经营贷</t>
        </is>
      </c>
      <c r="D111" s="297" t="inlineStr">
        <is>
          <t>一级</t>
        </is>
      </c>
      <c r="E111" s="493" t="n">
        <v>46105</v>
      </c>
      <c r="F111" s="493" t="n">
        <v>46107</v>
      </c>
      <c r="G111" s="297" t="inlineStr">
        <is>
          <t>惠元26-1期</t>
        </is>
      </c>
      <c r="I111" s="297" t="inlineStr">
        <is>
          <t>3/1.26</t>
        </is>
      </c>
      <c r="J111" s="756" t="n">
        <v>450</v>
      </c>
      <c r="K111" s="297" t="n">
        <v>101</v>
      </c>
      <c r="L111" s="297" t="inlineStr">
        <is>
          <t>建投、中信、中金、兴业</t>
        </is>
      </c>
      <c r="O111" s="297" t="inlineStr">
        <is>
          <t>有材料</t>
        </is>
      </c>
      <c r="P111" s="297" t="inlineStr">
        <is>
          <t>中金</t>
        </is>
      </c>
      <c r="Q111" s="297" t="inlineStr">
        <is>
          <t>王笛</t>
        </is>
      </c>
      <c r="S111" s="297" t="inlineStr">
        <is>
          <t>100，回收还行</t>
        </is>
      </c>
    </row>
    <row r="112" customFormat="1" s="297">
      <c r="B112" s="297" t="inlineStr">
        <is>
          <t>次级</t>
        </is>
      </c>
      <c r="C112" s="297" t="inlineStr">
        <is>
          <t>不良信用卡</t>
        </is>
      </c>
      <c r="D112" s="297" t="inlineStr">
        <is>
          <t>一级</t>
        </is>
      </c>
      <c r="E112" s="493" t="n">
        <v>46105</v>
      </c>
      <c r="F112" s="493" t="n">
        <v>46106</v>
      </c>
      <c r="G112" s="297" t="inlineStr">
        <is>
          <t>惠元2026-2</t>
        </is>
      </c>
      <c r="I112" s="297" t="inlineStr">
        <is>
          <t>3.7/1.2</t>
        </is>
      </c>
      <c r="J112" s="756" t="n">
        <v>400</v>
      </c>
      <c r="K112" s="297" t="n">
        <v>106</v>
      </c>
      <c r="L112" s="297" t="inlineStr">
        <is>
          <t>中信、兴业</t>
        </is>
      </c>
      <c r="P112" s="297" t="inlineStr">
        <is>
          <t>中信</t>
        </is>
      </c>
      <c r="Q112" s="297" t="inlineStr">
        <is>
          <t>王笛</t>
        </is>
      </c>
      <c r="S112" s="297" t="inlineStr">
        <is>
          <t>107，但超额少，服务费递增；有回收变差风险</t>
        </is>
      </c>
    </row>
    <row r="113" customFormat="1" s="297">
      <c r="B113" s="297" t="inlineStr">
        <is>
          <t>次级</t>
        </is>
      </c>
      <c r="C113" s="297" t="inlineStr">
        <is>
          <t>不良信用卡</t>
        </is>
      </c>
      <c r="D113" s="297" t="inlineStr">
        <is>
          <t>一级</t>
        </is>
      </c>
      <c r="E113" s="493" t="n">
        <v>46106</v>
      </c>
      <c r="F113" s="493" t="n">
        <v>46107</v>
      </c>
      <c r="G113" s="297" t="inlineStr">
        <is>
          <t>惠元2026-3</t>
        </is>
      </c>
      <c r="I113" s="297" t="inlineStr">
        <is>
          <t>2.17/0.63</t>
        </is>
      </c>
      <c r="J113" s="756" t="n">
        <v>160</v>
      </c>
      <c r="K113" s="297" t="n">
        <v>106</v>
      </c>
      <c r="L113" s="297" t="inlineStr">
        <is>
          <t>中信</t>
        </is>
      </c>
      <c r="P113" s="297" t="inlineStr">
        <is>
          <t>中信</t>
        </is>
      </c>
      <c r="Q113" s="297" t="inlineStr">
        <is>
          <t>王笛</t>
        </is>
      </c>
      <c r="S113" s="297" t="inlineStr">
        <is>
          <t>106，但超额少，服务费递增；有回收变差风险</t>
        </is>
      </c>
    </row>
    <row r="114" customFormat="1" s="308">
      <c r="B114" s="308" t="inlineStr">
        <is>
          <t>次级</t>
        </is>
      </c>
      <c r="C114" s="308" t="inlineStr">
        <is>
          <t>不良信用卡</t>
        </is>
      </c>
      <c r="D114" s="308" t="inlineStr">
        <is>
          <t>一级</t>
        </is>
      </c>
      <c r="E114" s="469" t="inlineStr">
        <is>
          <t>5月下旬</t>
        </is>
      </c>
      <c r="F114" s="469" t="n"/>
      <c r="G114" s="308" t="inlineStr">
        <is>
          <t>惠元2026-4</t>
        </is>
      </c>
      <c r="I114" s="308" t="inlineStr">
        <is>
          <t>4.27/1.39</t>
        </is>
      </c>
      <c r="J114" s="584" t="n"/>
      <c r="L114" s="308" t="inlineStr">
        <is>
          <t>中信</t>
        </is>
      </c>
      <c r="S114" s="308" t="inlineStr">
        <is>
          <t>回收还行，授权价106？</t>
        </is>
      </c>
    </row>
    <row r="115" customFormat="1" s="308">
      <c r="B115" s="308" t="inlineStr">
        <is>
          <t>次级</t>
        </is>
      </c>
      <c r="C115" s="308" t="inlineStr">
        <is>
          <t>小微</t>
        </is>
      </c>
      <c r="D115" s="308" t="inlineStr">
        <is>
          <t>一级</t>
        </is>
      </c>
      <c r="E115" s="469" t="n">
        <v>46168</v>
      </c>
      <c r="F115" s="469" t="n">
        <v>46169</v>
      </c>
      <c r="G115" s="308" t="inlineStr">
        <is>
          <t>惠元2026-5</t>
        </is>
      </c>
      <c r="I115" s="308" t="inlineStr">
        <is>
          <t>5.75/2.15</t>
        </is>
      </c>
      <c r="J115" s="584" t="n"/>
      <c r="L115" s="308" t="inlineStr">
        <is>
          <t>建投、中信、中金、兴业</t>
        </is>
      </c>
      <c r="S115" s="308" t="inlineStr">
        <is>
          <t>授权10-=102，待定，折扣率30%</t>
        </is>
      </c>
    </row>
    <row r="116" customFormat="1" s="308">
      <c r="B116" s="308" t="inlineStr">
        <is>
          <t>次级</t>
        </is>
      </c>
      <c r="C116" s="253" t="inlineStr">
        <is>
          <t>不良房贷</t>
        </is>
      </c>
      <c r="D116" s="308" t="inlineStr">
        <is>
          <t>一级</t>
        </is>
      </c>
      <c r="E116" s="469" t="inlineStr">
        <is>
          <t>5月下旬</t>
        </is>
      </c>
      <c r="F116" s="469" t="n"/>
      <c r="G116" s="308" t="inlineStr">
        <is>
          <t>惠元2026-6</t>
        </is>
      </c>
      <c r="I116" s="308" t="inlineStr">
        <is>
          <t>5.0/2.0</t>
        </is>
      </c>
      <c r="J116" s="584" t="n"/>
      <c r="L116" s="308" t="inlineStr">
        <is>
          <t>建投</t>
        </is>
      </c>
    </row>
    <row r="117" customFormat="1" s="274">
      <c r="B117" s="274" t="inlineStr">
        <is>
          <t>次级</t>
        </is>
      </c>
      <c r="C117" s="274" t="inlineStr">
        <is>
          <t>不良房贷</t>
        </is>
      </c>
      <c r="D117" s="274" t="inlineStr">
        <is>
          <t>一级</t>
        </is>
      </c>
      <c r="E117" s="293" t="n">
        <v>46105</v>
      </c>
      <c r="F117" s="293" t="n"/>
      <c r="G117" s="274" t="inlineStr">
        <is>
          <t>交诚2026-1</t>
        </is>
      </c>
      <c r="I117" s="274" t="inlineStr">
        <is>
          <t>4.65/1.55</t>
        </is>
      </c>
      <c r="J117" s="591" t="n"/>
      <c r="L117" s="274" t="inlineStr">
        <is>
          <t>招商、银河</t>
        </is>
      </c>
      <c r="O117" s="274" t="inlineStr">
        <is>
          <t>有材料</t>
        </is>
      </c>
      <c r="P117" s="274" t="inlineStr">
        <is>
          <t>\</t>
        </is>
      </c>
      <c r="Q117" s="274" t="inlineStr">
        <is>
          <t>王笛</t>
        </is>
      </c>
      <c r="S117" s="274" t="inlineStr">
        <is>
          <t>不参与</t>
        </is>
      </c>
    </row>
    <row r="118">
      <c r="B118" s="0" t="inlineStr">
        <is>
          <t>次级</t>
        </is>
      </c>
      <c r="C118" s="0" t="inlineStr">
        <is>
          <t>不良房贷</t>
        </is>
      </c>
      <c r="D118" s="0" t="inlineStr">
        <is>
          <t>一级</t>
        </is>
      </c>
      <c r="E118" s="117" t="n">
        <v>46164</v>
      </c>
      <c r="F118" s="117" t="n">
        <v>46168</v>
      </c>
      <c r="G118" s="0" t="inlineStr">
        <is>
          <t>交诚2026-2</t>
        </is>
      </c>
      <c r="I118" s="0" t="inlineStr">
        <is>
          <t>4.66/1.55</t>
        </is>
      </c>
      <c r="J118" s="563" t="n"/>
      <c r="L118" s="0" t="inlineStr">
        <is>
          <t>中金、招证、中信</t>
        </is>
      </c>
    </row>
    <row r="119" customFormat="1" s="297">
      <c r="B119" s="297" t="inlineStr">
        <is>
          <t>次级</t>
        </is>
      </c>
      <c r="C119" s="297" t="inlineStr">
        <is>
          <t>不良信用卡</t>
        </is>
      </c>
      <c r="D119" s="297" t="inlineStr">
        <is>
          <t>一级</t>
        </is>
      </c>
      <c r="E119" s="493" t="n">
        <v>46106</v>
      </c>
      <c r="F119" s="493" t="n">
        <v>46107</v>
      </c>
      <c r="G119" s="297" t="inlineStr">
        <is>
          <t>浦鑫归航2026-1</t>
        </is>
      </c>
      <c r="I119" s="297" t="inlineStr">
        <is>
          <t>2.55/0.97</t>
        </is>
      </c>
      <c r="J119" s="756" t="n">
        <v>2000</v>
      </c>
      <c r="K119" s="297" t="n">
        <v>100</v>
      </c>
      <c r="L119" s="297" t="inlineStr">
        <is>
          <t>建投、中金、国泰海通、招证</t>
        </is>
      </c>
      <c r="O119" s="297" t="inlineStr">
        <is>
          <t>无材料</t>
        </is>
      </c>
      <c r="P119" s="297" t="inlineStr">
        <is>
          <t>国泰</t>
        </is>
      </c>
      <c r="Q119" s="297" t="inlineStr">
        <is>
          <t>王笛</t>
        </is>
      </c>
      <c r="R119" s="297" t="inlineStr">
        <is>
          <t>韩亚5000，2.04%</t>
        </is>
      </c>
      <c r="S119" s="297" t="n">
        <v>100</v>
      </c>
    </row>
    <row r="120" customFormat="1" s="274">
      <c r="A120" s="274" t="n">
        <v>2000</v>
      </c>
      <c r="B120" s="274" t="inlineStr">
        <is>
          <t>次级</t>
        </is>
      </c>
      <c r="C120" s="274" t="inlineStr">
        <is>
          <t>不良房贷</t>
        </is>
      </c>
      <c r="D120" s="274" t="inlineStr">
        <is>
          <t>一级</t>
        </is>
      </c>
      <c r="E120" s="493" t="n">
        <v>46106</v>
      </c>
      <c r="F120" s="493" t="n">
        <v>46107</v>
      </c>
      <c r="G120" s="274" t="inlineStr">
        <is>
          <t>浦鑫归航2026-2</t>
        </is>
      </c>
      <c r="I120" s="274" t="inlineStr">
        <is>
          <t>3.77/0.98</t>
        </is>
      </c>
      <c r="J120" s="591" t="n">
        <v>900</v>
      </c>
      <c r="K120" s="274" t="n">
        <v>100</v>
      </c>
      <c r="L120" s="274" t="inlineStr">
        <is>
          <t>中金、招证、建投、海通</t>
        </is>
      </c>
      <c r="O120" s="274" t="inlineStr">
        <is>
          <t>无材料</t>
        </is>
      </c>
      <c r="P120" s="274" t="inlineStr">
        <is>
          <t>中金</t>
        </is>
      </c>
      <c r="Q120" s="274" t="inlineStr">
        <is>
          <t>王笛</t>
        </is>
      </c>
      <c r="S120" s="274" t="inlineStr">
        <is>
          <t>不参与</t>
        </is>
      </c>
    </row>
    <row r="121" customFormat="1" s="297">
      <c r="B121" s="297" t="inlineStr">
        <is>
          <t>次级</t>
        </is>
      </c>
      <c r="C121" s="297" t="inlineStr">
        <is>
          <t>不良信用卡</t>
        </is>
      </c>
      <c r="D121" s="297" t="inlineStr">
        <is>
          <t>一级</t>
        </is>
      </c>
      <c r="E121" s="493" t="n">
        <v>46106</v>
      </c>
      <c r="F121" s="493" t="n">
        <v>46107</v>
      </c>
      <c r="G121" s="297" t="inlineStr">
        <is>
          <t>浦鑫归航2026-3</t>
        </is>
      </c>
      <c r="I121" s="297" t="inlineStr">
        <is>
          <t>0.27/0.098</t>
        </is>
      </c>
      <c r="J121" s="756" t="n">
        <v>0</v>
      </c>
      <c r="K121" s="297" t="n">
        <v>100</v>
      </c>
      <c r="L121" s="297" t="inlineStr">
        <is>
          <t>中金、招证、建投、海通</t>
        </is>
      </c>
      <c r="O121" s="297" t="inlineStr">
        <is>
          <t>有材料</t>
        </is>
      </c>
      <c r="P121" s="297" t="inlineStr">
        <is>
          <t>国泰</t>
        </is>
      </c>
      <c r="Q121" s="297" t="inlineStr">
        <is>
          <t>王笛</t>
        </is>
      </c>
      <c r="S121" s="297" t="inlineStr">
        <is>
          <t>100-可以搭售。搭售6.3%</t>
        </is>
      </c>
    </row>
    <row r="122" customFormat="1" s="495">
      <c r="B122" s="495" t="inlineStr">
        <is>
          <t>次级</t>
        </is>
      </c>
      <c r="C122" s="495" t="inlineStr">
        <is>
          <t>不良房贷</t>
        </is>
      </c>
      <c r="D122" s="495" t="inlineStr">
        <is>
          <t>一级</t>
        </is>
      </c>
      <c r="E122" s="496" t="n">
        <v>46105</v>
      </c>
      <c r="F122" s="496" t="n">
        <v>46107</v>
      </c>
      <c r="G122" s="495" t="inlineStr">
        <is>
          <t>工元至诚惠银2026-2</t>
        </is>
      </c>
      <c r="I122" s="495" t="inlineStr">
        <is>
          <t>12/3.9</t>
        </is>
      </c>
      <c r="J122" s="757" t="n">
        <v>1000</v>
      </c>
      <c r="K122" s="495" t="n">
        <v>100</v>
      </c>
      <c r="L122" s="495" t="inlineStr">
        <is>
          <t>国泰/广发</t>
        </is>
      </c>
      <c r="O122" s="495" t="inlineStr">
        <is>
          <t>有材料</t>
        </is>
      </c>
      <c r="P122" s="495" t="inlineStr">
        <is>
          <t>国泰</t>
        </is>
      </c>
      <c r="Q122" s="495" t="inlineStr">
        <is>
          <t>王笛</t>
        </is>
      </c>
      <c r="S122" s="495" t="inlineStr">
        <is>
          <t>无超额念想</t>
        </is>
      </c>
    </row>
    <row r="123" customFormat="1" s="297">
      <c r="B123" s="297" t="inlineStr">
        <is>
          <t>次级</t>
        </is>
      </c>
      <c r="C123" s="297" t="inlineStr">
        <is>
          <t>不良信用卡</t>
        </is>
      </c>
      <c r="D123" s="297" t="inlineStr">
        <is>
          <t>一级</t>
        </is>
      </c>
      <c r="E123" s="493" t="n">
        <v>46104</v>
      </c>
      <c r="F123" s="493" t="n">
        <v>46106</v>
      </c>
      <c r="G123" s="297" t="inlineStr">
        <is>
          <t>工元至诚惠银2026-1</t>
        </is>
      </c>
      <c r="I123" s="297" t="inlineStr">
        <is>
          <t>2.9/0.96</t>
        </is>
      </c>
      <c r="J123" s="756" t="n">
        <v>700</v>
      </c>
      <c r="K123" s="297" t="n">
        <v>108</v>
      </c>
      <c r="L123" s="297" t="inlineStr">
        <is>
          <t>建投、银河</t>
        </is>
      </c>
      <c r="O123" s="297" t="inlineStr">
        <is>
          <t>有材料</t>
        </is>
      </c>
      <c r="P123" s="297" t="inlineStr">
        <is>
          <t>建投</t>
        </is>
      </c>
      <c r="Q123" s="297" t="inlineStr">
        <is>
          <t>王笛</t>
        </is>
      </c>
      <c r="S123" s="297" t="inlineStr">
        <is>
          <t>110边际，5%多；服务费递增</t>
        </is>
      </c>
    </row>
    <row r="124" customFormat="1" s="297">
      <c r="B124" s="297" t="inlineStr">
        <is>
          <t>次级</t>
        </is>
      </c>
      <c r="C124" s="297" t="inlineStr">
        <is>
          <t>不良消费</t>
        </is>
      </c>
      <c r="D124" s="297" t="inlineStr">
        <is>
          <t>一级</t>
        </is>
      </c>
      <c r="E124" s="493" t="n">
        <v>46105</v>
      </c>
      <c r="F124" s="493" t="n">
        <v>46107</v>
      </c>
      <c r="G124" s="297" t="inlineStr">
        <is>
          <t>工元至诚惠银2026-3</t>
        </is>
      </c>
      <c r="I124" s="297" t="inlineStr">
        <is>
          <t>1.15/0.445</t>
        </is>
      </c>
      <c r="J124" s="756" t="n">
        <v>0</v>
      </c>
      <c r="K124" s="297" t="n">
        <v>110</v>
      </c>
      <c r="L124" s="297" t="inlineStr">
        <is>
          <t>招商</t>
        </is>
      </c>
      <c r="O124" s="297" t="inlineStr">
        <is>
          <t>有材料</t>
        </is>
      </c>
      <c r="P124" s="297" t="inlineStr">
        <is>
          <t>招商</t>
        </is>
      </c>
      <c r="Q124" s="297" t="inlineStr">
        <is>
          <t>王笛</t>
        </is>
      </c>
      <c r="S124" s="297" t="inlineStr">
        <is>
          <t>106边际，5%多；服务费递增</t>
        </is>
      </c>
    </row>
    <row r="125" customFormat="1" s="495">
      <c r="B125" s="495" t="inlineStr">
        <is>
          <t>次级</t>
        </is>
      </c>
      <c r="C125" s="495" t="inlineStr">
        <is>
          <t>不良经营贷</t>
        </is>
      </c>
      <c r="D125" s="495" t="inlineStr">
        <is>
          <t>一级</t>
        </is>
      </c>
      <c r="E125" s="496" t="n">
        <v>46104</v>
      </c>
      <c r="F125" s="496" t="n">
        <v>46106</v>
      </c>
      <c r="G125" s="495" t="inlineStr">
        <is>
          <t>工元至诚普银2026-1</t>
        </is>
      </c>
      <c r="I125" s="495" t="inlineStr">
        <is>
          <t>7.5/2.5</t>
        </is>
      </c>
      <c r="J125" s="757" t="n">
        <v>1200</v>
      </c>
      <c r="K125" s="495" t="n">
        <v>100</v>
      </c>
      <c r="L125" s="495" t="inlineStr">
        <is>
          <t>中金</t>
        </is>
      </c>
      <c r="O125" s="495" t="inlineStr">
        <is>
          <t>有材料</t>
        </is>
      </c>
      <c r="P125" s="495" t="inlineStr">
        <is>
          <t>中金</t>
        </is>
      </c>
      <c r="Q125" s="495" t="inlineStr">
        <is>
          <t>王笛</t>
        </is>
      </c>
      <c r="S125" s="495" t="inlineStr">
        <is>
          <t>无超额念想</t>
        </is>
      </c>
    </row>
    <row r="126" customFormat="1" s="274">
      <c r="B126" s="274" t="inlineStr">
        <is>
          <t>次级</t>
        </is>
      </c>
      <c r="C126" s="274" t="inlineStr">
        <is>
          <t>不良房贷</t>
        </is>
      </c>
      <c r="D126" s="274" t="inlineStr">
        <is>
          <t>一级</t>
        </is>
      </c>
      <c r="E126" s="293" t="n">
        <v>46105</v>
      </c>
      <c r="F126" s="293" t="n">
        <v>46107</v>
      </c>
      <c r="G126" s="274" t="inlineStr">
        <is>
          <t>邮盈惠丰2026-1</t>
        </is>
      </c>
      <c r="I126" s="274" t="inlineStr">
        <is>
          <t>9.7/2.8</t>
        </is>
      </c>
      <c r="J126" s="591" t="n"/>
      <c r="L126" s="274" t="inlineStr">
        <is>
          <t>中金、建投、中邮</t>
        </is>
      </c>
      <c r="O126" s="274" t="inlineStr">
        <is>
          <t>有材料</t>
        </is>
      </c>
      <c r="P126" s="274" t="inlineStr">
        <is>
          <t>中金</t>
        </is>
      </c>
      <c r="Q126" s="274" t="inlineStr">
        <is>
          <t>王笛</t>
        </is>
      </c>
      <c r="S126" s="274" t="inlineStr">
        <is>
          <t>不参与，区位差，估值高</t>
        </is>
      </c>
    </row>
    <row r="127" customFormat="1" s="308">
      <c r="B127" s="308" t="inlineStr">
        <is>
          <t>次级</t>
        </is>
      </c>
      <c r="C127" s="308" t="inlineStr">
        <is>
          <t>不良信用卡</t>
        </is>
      </c>
      <c r="D127" s="308" t="inlineStr">
        <is>
          <t>一级</t>
        </is>
      </c>
      <c r="E127" s="469" t="n">
        <v>46167</v>
      </c>
      <c r="F127" s="469" t="n">
        <v>46169</v>
      </c>
      <c r="G127" s="308" t="inlineStr">
        <is>
          <t>邮盈惠丰2026-2</t>
        </is>
      </c>
      <c r="I127" s="308" t="inlineStr">
        <is>
          <t>3.76/1.0</t>
        </is>
      </c>
      <c r="J127" s="584" t="n"/>
      <c r="L127" s="308" t="inlineStr">
        <is>
          <t>银河，国泰，中银</t>
        </is>
      </c>
      <c r="P127" s="308" t="inlineStr">
        <is>
          <t>中银</t>
        </is>
      </c>
      <c r="S127" s="308" t="inlineStr">
        <is>
          <t>授权106，回收还可以</t>
        </is>
      </c>
    </row>
    <row r="128" customFormat="1" s="297">
      <c r="A128" s="297" t="n">
        <v>500</v>
      </c>
      <c r="B128" s="297" t="inlineStr">
        <is>
          <t>次级</t>
        </is>
      </c>
      <c r="C128" s="297" t="inlineStr">
        <is>
          <t>不良信用卡</t>
        </is>
      </c>
      <c r="D128" s="297" t="inlineStr">
        <is>
          <t>一级</t>
        </is>
      </c>
      <c r="E128" s="493" t="n">
        <v>46106</v>
      </c>
      <c r="F128" s="493" t="n">
        <v>46107</v>
      </c>
      <c r="G128" s="297" t="inlineStr">
        <is>
          <t>苏誉2026-1</t>
        </is>
      </c>
      <c r="I128" s="297" t="inlineStr">
        <is>
          <t>680/300</t>
        </is>
      </c>
      <c r="J128" s="756" t="inlineStr">
        <is>
          <t>‘74/34</t>
        </is>
      </c>
      <c r="K128" s="498" t="inlineStr">
        <is>
          <t>2.05%/100</t>
        </is>
      </c>
      <c r="L128" s="297" t="inlineStr">
        <is>
          <t>招商</t>
        </is>
      </c>
      <c r="O128" s="297" t="inlineStr">
        <is>
          <t>有材料</t>
        </is>
      </c>
      <c r="P128" s="297" t="inlineStr">
        <is>
          <t>招商</t>
        </is>
      </c>
      <c r="Q128" s="297" t="inlineStr">
        <is>
          <t>王笛</t>
        </is>
      </c>
      <c r="S128" s="297" t="inlineStr">
        <is>
          <t>参与搭售</t>
        </is>
      </c>
    </row>
    <row r="129" customFormat="1" s="297">
      <c r="B129" s="297" t="inlineStr">
        <is>
          <t>次级</t>
        </is>
      </c>
      <c r="C129" s="297" t="inlineStr">
        <is>
          <t>不良经营贷</t>
        </is>
      </c>
      <c r="D129" s="297" t="inlineStr">
        <is>
          <t>一级</t>
        </is>
      </c>
      <c r="E129" s="493" t="n">
        <v>46108</v>
      </c>
      <c r="F129" s="493" t="n">
        <v>46111</v>
      </c>
      <c r="G129" s="297" t="inlineStr">
        <is>
          <t>中誉至诚2026-1</t>
        </is>
      </c>
      <c r="I129" s="297" t="inlineStr">
        <is>
          <t>9.5/2.8</t>
        </is>
      </c>
      <c r="J129" s="756" t="n">
        <v>1200</v>
      </c>
      <c r="K129" s="297" t="n">
        <v>100</v>
      </c>
      <c r="L129" s="297" t="inlineStr">
        <is>
          <t>招商、中信、银河、国泰</t>
        </is>
      </c>
      <c r="P129" s="297" t="inlineStr">
        <is>
          <t>建投</t>
        </is>
      </c>
      <c r="S129" s="297" t="inlineStr">
        <is>
          <t>重点参与，2-8分成</t>
        </is>
      </c>
    </row>
    <row r="130" customFormat="1" s="297">
      <c r="B130" s="297" t="inlineStr">
        <is>
          <t>次级</t>
        </is>
      </c>
      <c r="C130" s="297" t="inlineStr">
        <is>
          <t>不良信用卡</t>
        </is>
      </c>
      <c r="D130" s="297" t="inlineStr">
        <is>
          <t>一级</t>
        </is>
      </c>
      <c r="E130" s="493" t="n">
        <v>46114</v>
      </c>
      <c r="F130" s="493" t="n">
        <v>46119</v>
      </c>
      <c r="G130" s="297" t="inlineStr">
        <is>
          <t>中誉至诚2026-2</t>
        </is>
      </c>
      <c r="I130" s="297" t="inlineStr">
        <is>
          <t>1.75/0.63</t>
        </is>
      </c>
      <c r="J130" s="756" t="n">
        <v>130</v>
      </c>
      <c r="K130" s="297" t="n">
        <v>108</v>
      </c>
      <c r="L130" s="297" t="inlineStr">
        <is>
          <t>招商、中金、银河、国泰</t>
        </is>
      </c>
      <c r="P130" s="297" t="inlineStr">
        <is>
          <t>国泰</t>
        </is>
      </c>
      <c r="S130" s="297" t="inlineStr">
        <is>
          <t>性价比高，至少110,114--优先级性价比很好</t>
        </is>
      </c>
    </row>
    <row r="131" customFormat="1" s="308">
      <c r="B131" s="308" t="inlineStr">
        <is>
          <t>次级</t>
        </is>
      </c>
      <c r="C131" s="308" t="inlineStr">
        <is>
          <t>不良信用卡</t>
        </is>
      </c>
      <c r="D131" s="308" t="inlineStr">
        <is>
          <t>一级</t>
        </is>
      </c>
      <c r="E131" s="469" t="n">
        <v>46161</v>
      </c>
      <c r="F131" s="469" t="n">
        <v>46162</v>
      </c>
      <c r="G131" s="308" t="inlineStr">
        <is>
          <t>中誉至诚2026-3</t>
        </is>
      </c>
      <c r="I131" s="308" t="inlineStr">
        <is>
          <t>3.9/1.48</t>
        </is>
      </c>
      <c r="J131" s="584" t="n"/>
      <c r="L131" s="308" t="inlineStr">
        <is>
          <t>建投、招证、中金、国泰</t>
        </is>
      </c>
      <c r="P131" s="308" t="inlineStr">
        <is>
          <t>建投，国泰</t>
        </is>
      </c>
      <c r="S131" s="308" t="inlineStr">
        <is>
          <t>授权113，回收较好</t>
        </is>
      </c>
    </row>
    <row r="132" customFormat="1" s="308">
      <c r="B132" s="308" t="inlineStr">
        <is>
          <t>次级</t>
        </is>
      </c>
      <c r="C132" s="308" t="inlineStr">
        <is>
          <t>个人经营</t>
        </is>
      </c>
      <c r="D132" s="308" t="inlineStr">
        <is>
          <t>一级</t>
        </is>
      </c>
      <c r="E132" s="469" t="n">
        <v>46161</v>
      </c>
      <c r="F132" s="469" t="n">
        <v>46162</v>
      </c>
      <c r="G132" s="308" t="inlineStr">
        <is>
          <t>中誉至诚2026-4</t>
        </is>
      </c>
      <c r="I132" s="308" t="inlineStr">
        <is>
          <t>9.3/2.7</t>
        </is>
      </c>
      <c r="J132" s="584" t="n"/>
      <c r="L132" s="308" t="inlineStr">
        <is>
          <t>建投、招证、中金、国泰</t>
        </is>
      </c>
      <c r="P132" s="308" t="inlineStr">
        <is>
          <t>建投，国泰</t>
        </is>
      </c>
      <c r="S132" s="308" t="inlineStr">
        <is>
          <t>授权一定溢价，ok</t>
        </is>
      </c>
    </row>
    <row r="133" customFormat="1" s="308">
      <c r="B133" s="0" t="inlineStr">
        <is>
          <t>次级</t>
        </is>
      </c>
      <c r="C133" s="0" t="inlineStr">
        <is>
          <t>不良房贷</t>
        </is>
      </c>
      <c r="D133" s="0" t="inlineStr">
        <is>
          <t>一级</t>
        </is>
      </c>
      <c r="E133" s="469" t="n">
        <v>46169</v>
      </c>
      <c r="F133" s="469" t="n">
        <v>46170</v>
      </c>
      <c r="G133" s="308" t="inlineStr">
        <is>
          <t>中誉至诚2026-5</t>
        </is>
      </c>
      <c r="I133" s="469" t="inlineStr">
        <is>
          <t>15.0/4.0</t>
        </is>
      </c>
      <c r="J133" s="584" t="n"/>
      <c r="L133" s="308" t="inlineStr">
        <is>
          <t>建投、招证、中金、国泰</t>
        </is>
      </c>
    </row>
    <row r="134" customFormat="1" s="297">
      <c r="B134" s="297" t="inlineStr">
        <is>
          <t>次级</t>
        </is>
      </c>
      <c r="C134" s="297" t="inlineStr">
        <is>
          <t>不良经营贷</t>
        </is>
      </c>
      <c r="D134" s="297" t="inlineStr">
        <is>
          <t>一级</t>
        </is>
      </c>
      <c r="E134" s="493" t="n">
        <v>46132</v>
      </c>
      <c r="F134" s="493" t="n">
        <v>46134</v>
      </c>
      <c r="G134" s="297" t="inlineStr">
        <is>
          <t>臻金2026-1</t>
        </is>
      </c>
      <c r="I134" s="297" t="inlineStr">
        <is>
          <t>2.4/0.63</t>
        </is>
      </c>
      <c r="J134" s="756" t="n">
        <v>990</v>
      </c>
      <c r="K134" s="297" t="n">
        <v>102</v>
      </c>
      <c r="L134" s="297" t="inlineStr">
        <is>
          <t>中金、中信、建投、国泰</t>
        </is>
      </c>
      <c r="P134" s="297" t="inlineStr">
        <is>
          <t>中金</t>
        </is>
      </c>
      <c r="S134" s="297" t="n">
        <v>100</v>
      </c>
    </row>
    <row r="135" customFormat="1" s="253">
      <c r="B135" s="253" t="inlineStr">
        <is>
          <t>次级</t>
        </is>
      </c>
      <c r="C135" s="253" t="inlineStr">
        <is>
          <t>不良房贷</t>
        </is>
      </c>
      <c r="D135" s="253" t="inlineStr">
        <is>
          <t>一级</t>
        </is>
      </c>
      <c r="E135" s="508" t="n">
        <v>46156</v>
      </c>
      <c r="F135" s="508" t="n">
        <v>46160</v>
      </c>
      <c r="G135" s="253" t="inlineStr">
        <is>
          <t>臻金2026-2</t>
        </is>
      </c>
      <c r="I135" s="253" t="inlineStr">
        <is>
          <t>1.14/0.39</t>
        </is>
      </c>
      <c r="J135" s="580" t="n">
        <v>600</v>
      </c>
      <c r="K135" s="253" t="n">
        <v>102</v>
      </c>
      <c r="L135" s="253" t="inlineStr">
        <is>
          <t>中金、建投、中信、国泰</t>
        </is>
      </c>
      <c r="P135" s="253" t="inlineStr">
        <is>
          <t>中金，中信</t>
        </is>
      </c>
      <c r="S135" s="253" t="inlineStr">
        <is>
          <t>性价比一般，100.</t>
        </is>
      </c>
    </row>
    <row r="136" customFormat="1" s="297">
      <c r="B136" s="297" t="inlineStr">
        <is>
          <t>次级</t>
        </is>
      </c>
      <c r="C136" s="297" t="inlineStr">
        <is>
          <t>不良经营贷</t>
        </is>
      </c>
      <c r="D136" s="297" t="inlineStr">
        <is>
          <t>一级</t>
        </is>
      </c>
      <c r="E136" s="493" t="n">
        <v>46105</v>
      </c>
      <c r="F136" s="493" t="n">
        <v>46107</v>
      </c>
      <c r="G136" s="297" t="inlineStr">
        <is>
          <t>建欣26-1</t>
        </is>
      </c>
      <c r="I136" s="297" t="inlineStr">
        <is>
          <t>4.4/2.27</t>
        </is>
      </c>
      <c r="J136" s="756" t="n">
        <v>3728</v>
      </c>
      <c r="K136" s="297" t="n">
        <v>100</v>
      </c>
      <c r="L136" s="297" t="inlineStr">
        <is>
          <t>信达</t>
        </is>
      </c>
      <c r="P136" s="297" t="inlineStr">
        <is>
          <t>信达</t>
        </is>
      </c>
      <c r="R136" s="297" t="inlineStr">
        <is>
          <t>信达代缴</t>
        </is>
      </c>
      <c r="S136" s="297" t="inlineStr">
        <is>
          <t>性价比差，110授权</t>
        </is>
      </c>
    </row>
    <row r="137" customFormat="1" s="112">
      <c r="B137" s="112" t="inlineStr">
        <is>
          <t>次级</t>
        </is>
      </c>
      <c r="C137" s="112" t="inlineStr">
        <is>
          <t>不良消费</t>
        </is>
      </c>
      <c r="D137" s="112" t="inlineStr">
        <is>
          <t>一级</t>
        </is>
      </c>
      <c r="E137" s="110" t="n">
        <v>46157</v>
      </c>
      <c r="F137" s="110" t="n">
        <v>46161</v>
      </c>
      <c r="G137" s="112" t="inlineStr">
        <is>
          <t>建欣26-2</t>
        </is>
      </c>
      <c r="I137" s="112" t="inlineStr">
        <is>
          <t>0.95/0.24</t>
        </is>
      </c>
      <c r="J137" s="112" t="n">
        <v>110</v>
      </c>
      <c r="K137" s="112" t="n">
        <v>100</v>
      </c>
      <c r="L137" s="112" t="inlineStr">
        <is>
          <t>国泰、中信、广发、银河</t>
        </is>
      </c>
      <c r="P137" s="112" t="inlineStr">
        <is>
          <t>国泰</t>
        </is>
      </c>
      <c r="S137" s="112" t="inlineStr">
        <is>
          <t>回收好，可考虑105价格，防范及时清仓风险</t>
        </is>
      </c>
    </row>
    <row r="138" customFormat="1" s="112">
      <c r="B138" s="112" t="inlineStr">
        <is>
          <t>次级</t>
        </is>
      </c>
      <c r="C138" s="112" t="inlineStr">
        <is>
          <t>不良房贷</t>
        </is>
      </c>
      <c r="D138" s="112" t="inlineStr">
        <is>
          <t>一级</t>
        </is>
      </c>
      <c r="E138" s="110" t="n">
        <v>46157</v>
      </c>
      <c r="F138" s="110" t="n">
        <v>46160</v>
      </c>
      <c r="G138" s="112" t="inlineStr">
        <is>
          <t>建欣26-3</t>
        </is>
      </c>
      <c r="I138" s="112" t="inlineStr">
        <is>
          <t>9.75/2.95</t>
        </is>
      </c>
      <c r="J138" s="112" t="n">
        <v>1000</v>
      </c>
      <c r="K138" s="112" t="n">
        <v>100</v>
      </c>
      <c r="L138" s="112" t="inlineStr">
        <is>
          <t>中信、国泰、兴业、信达、广发</t>
        </is>
      </c>
      <c r="P138" s="112" t="inlineStr">
        <is>
          <t>中信</t>
        </is>
      </c>
      <c r="S138" s="112" t="inlineStr">
        <is>
          <t>性价比一般，100.</t>
        </is>
      </c>
    </row>
    <row r="139">
      <c r="B139" s="0" t="inlineStr">
        <is>
          <t>次级</t>
        </is>
      </c>
      <c r="C139" s="0" t="inlineStr">
        <is>
          <t>不良信用卡</t>
        </is>
      </c>
      <c r="D139" s="0" t="inlineStr">
        <is>
          <t>一级</t>
        </is>
      </c>
      <c r="E139" s="117" t="n">
        <v>46163</v>
      </c>
      <c r="F139" s="117" t="n">
        <v>46165</v>
      </c>
      <c r="G139" s="0" t="inlineStr">
        <is>
          <t>建欣26-4</t>
        </is>
      </c>
      <c r="I139" s="0" t="inlineStr">
        <is>
          <t>4.3/1.37</t>
        </is>
      </c>
      <c r="L139" s="0" t="inlineStr">
        <is>
          <t>国泰、建投、信达</t>
        </is>
      </c>
      <c r="R139" s="0" t="inlineStr">
        <is>
          <t>韩亚</t>
        </is>
      </c>
      <c r="S139" s="0" t="inlineStr">
        <is>
          <t>授权110，回收不错</t>
        </is>
      </c>
    </row>
    <row r="140" customFormat="1" s="308">
      <c r="B140" s="253" t="inlineStr">
        <is>
          <t>次级</t>
        </is>
      </c>
      <c r="C140" s="253" t="inlineStr">
        <is>
          <t>不良经营贷</t>
        </is>
      </c>
      <c r="D140" s="253" t="inlineStr">
        <is>
          <t>一级</t>
        </is>
      </c>
      <c r="E140" s="469" t="n"/>
      <c r="F140" s="469" t="n"/>
      <c r="G140" s="308" t="inlineStr">
        <is>
          <t>建欣26-5</t>
        </is>
      </c>
      <c r="I140" s="308" t="inlineStr">
        <is>
          <t>1.8/0.64</t>
        </is>
      </c>
      <c r="L140" s="308" t="inlineStr">
        <is>
          <t>招商证券为牵头主承销商、簿记管理人，联主为广发证券、兴业证券、中信建投证券</t>
        </is>
      </c>
    </row>
    <row r="141">
      <c r="B141" s="0" t="inlineStr">
        <is>
          <t>次级</t>
        </is>
      </c>
      <c r="C141" s="0" t="inlineStr">
        <is>
          <t>不良信用卡</t>
        </is>
      </c>
      <c r="D141" s="0" t="inlineStr">
        <is>
          <t>一级</t>
        </is>
      </c>
      <c r="E141" s="117" t="n"/>
      <c r="F141" s="117" t="n"/>
      <c r="G141" s="0" t="inlineStr">
        <is>
          <t>建欣26-6</t>
        </is>
      </c>
      <c r="I141" s="0" t="inlineStr">
        <is>
          <t>2.5/0.97</t>
        </is>
      </c>
      <c r="L141" s="0" t="inlineStr">
        <is>
          <t>国泰、中信、招商、银河</t>
        </is>
      </c>
      <c r="S141" s="0" t="inlineStr">
        <is>
          <t>授权109，回收不错</t>
        </is>
      </c>
    </row>
    <row r="142">
      <c r="B142" s="0" t="inlineStr">
        <is>
          <t>次级</t>
        </is>
      </c>
      <c r="C142" s="0" t="inlineStr">
        <is>
          <t>不良房贷</t>
        </is>
      </c>
      <c r="D142" s="0" t="inlineStr">
        <is>
          <t>一级</t>
        </is>
      </c>
      <c r="E142" s="117" t="n"/>
      <c r="F142" s="117" t="n"/>
      <c r="G142" s="0" t="inlineStr">
        <is>
          <t>建欣26-7</t>
        </is>
      </c>
      <c r="I142" s="0" t="inlineStr">
        <is>
          <t>13.2/4.0</t>
        </is>
      </c>
      <c r="L142" s="0" t="inlineStr">
        <is>
          <t>招商牵头，兴业证券、国泰、广发证券</t>
        </is>
      </c>
    </row>
    <row r="143">
      <c r="B143" s="253" t="inlineStr">
        <is>
          <t>次级</t>
        </is>
      </c>
      <c r="C143" s="253" t="inlineStr">
        <is>
          <t>不良经营贷</t>
        </is>
      </c>
      <c r="D143" s="253" t="inlineStr">
        <is>
          <t>一级</t>
        </is>
      </c>
      <c r="E143" s="117" t="n"/>
      <c r="F143" s="117" t="n"/>
      <c r="G143" s="0" t="inlineStr">
        <is>
          <t>建欣26-8</t>
        </is>
      </c>
      <c r="I143" s="0" t="inlineStr">
        <is>
          <t>3.9/1.54</t>
        </is>
      </c>
      <c r="L143" s="0" t="inlineStr">
        <is>
          <t>中信证券牵头，兴业证券、中金公司、银河证券联主</t>
        </is>
      </c>
    </row>
    <row r="144" customFormat="1" s="274">
      <c r="B144" s="274" t="inlineStr">
        <is>
          <t>次级</t>
        </is>
      </c>
      <c r="C144" s="274" t="inlineStr">
        <is>
          <t>个人消费（住房）</t>
        </is>
      </c>
      <c r="D144" s="274" t="inlineStr">
        <is>
          <t>一级</t>
        </is>
      </c>
      <c r="E144" s="293" t="n">
        <v>46135</v>
      </c>
      <c r="F144" s="293" t="n">
        <v>46139</v>
      </c>
      <c r="G144" s="274" t="inlineStr">
        <is>
          <t>橙益2026-1</t>
        </is>
      </c>
      <c r="I144" s="274" t="inlineStr">
        <is>
          <t>3.33/0.95</t>
        </is>
      </c>
      <c r="J144" s="274" t="n">
        <v>0</v>
      </c>
      <c r="L144" s="274" t="inlineStr">
        <is>
          <t>中信、国泰、建投</t>
        </is>
      </c>
      <c r="S144" s="274" t="inlineStr">
        <is>
          <t>性价比不高，再和银行沟通下疑问</t>
        </is>
      </c>
    </row>
    <row r="145" customFormat="1" s="308">
      <c r="B145" s="0" t="inlineStr">
        <is>
          <t>次级</t>
        </is>
      </c>
      <c r="C145" s="0" t="inlineStr">
        <is>
          <t>不良信用卡</t>
        </is>
      </c>
      <c r="D145" s="308" t="inlineStr">
        <is>
          <t>一级</t>
        </is>
      </c>
      <c r="E145" s="469" t="n">
        <v>46163</v>
      </c>
      <c r="F145" s="469" t="n">
        <v>46167</v>
      </c>
      <c r="G145" s="308" t="inlineStr">
        <is>
          <t>橙益2026-2</t>
        </is>
      </c>
      <c r="I145" s="308" t="inlineStr">
        <is>
          <t>0.69/0.25</t>
        </is>
      </c>
      <c r="P145" s="308" t="inlineStr">
        <is>
          <t>平安</t>
        </is>
      </c>
      <c r="S145" s="308" t="inlineStr">
        <is>
          <t>搭售，预计溢价，回收较好，簿记前看授权价</t>
        </is>
      </c>
    </row>
    <row r="146" customFormat="1" s="308">
      <c r="B146" s="308" t="inlineStr">
        <is>
          <t>次级</t>
        </is>
      </c>
      <c r="C146" s="308" t="inlineStr">
        <is>
          <t>不良经营贷</t>
        </is>
      </c>
      <c r="D146" s="308" t="inlineStr">
        <is>
          <t>一级</t>
        </is>
      </c>
      <c r="E146" s="469" t="n">
        <v>46167</v>
      </c>
      <c r="F146" s="469" t="n">
        <v>46169</v>
      </c>
      <c r="G146" s="308" t="inlineStr">
        <is>
          <t>橙益2026-3</t>
        </is>
      </c>
      <c r="I146" s="308" t="inlineStr">
        <is>
          <t>1.881/0.589</t>
        </is>
      </c>
      <c r="P146" s="308" t="inlineStr">
        <is>
          <t>中金</t>
        </is>
      </c>
      <c r="S146" s="308" t="inlineStr">
        <is>
          <t>重点跟进，比惠元5性价比高，授权价可以适度高，105以内</t>
        </is>
      </c>
    </row>
    <row r="147" customFormat="1" s="308">
      <c r="B147" s="308" t="inlineStr">
        <is>
          <t>次级</t>
        </is>
      </c>
      <c r="C147" s="308" t="inlineStr">
        <is>
          <t>不良经营贷</t>
        </is>
      </c>
      <c r="D147" s="308" t="inlineStr">
        <is>
          <t>一级</t>
        </is>
      </c>
      <c r="E147" s="469" t="n">
        <v>46167</v>
      </c>
      <c r="F147" s="469" t="n">
        <v>46169</v>
      </c>
      <c r="G147" s="308" t="inlineStr">
        <is>
          <t>橙益2026-4</t>
        </is>
      </c>
      <c r="I147" s="308" t="inlineStr">
        <is>
          <t>0.35/0.13</t>
        </is>
      </c>
      <c r="L147" s="308" t="inlineStr">
        <is>
          <t>中信、国泰、建投</t>
        </is>
      </c>
      <c r="S147" s="308" t="inlineStr">
        <is>
          <t>回收可以，车抵，105授权</t>
        </is>
      </c>
    </row>
    <row r="148" customFormat="1" s="112">
      <c r="B148" s="112" t="inlineStr">
        <is>
          <t>次级</t>
        </is>
      </c>
      <c r="C148" s="112" t="inlineStr">
        <is>
          <t>小微企业</t>
        </is>
      </c>
      <c r="D148" s="112" t="inlineStr">
        <is>
          <t>一级</t>
        </is>
      </c>
      <c r="E148" s="110" t="n">
        <v>46155</v>
      </c>
      <c r="F148" s="110" t="n">
        <v>46160</v>
      </c>
      <c r="G148" s="112" t="inlineStr">
        <is>
          <t>鸿富26-1</t>
        </is>
      </c>
      <c r="I148" s="112" t="inlineStr">
        <is>
          <t>2.8/1.21</t>
        </is>
      </c>
      <c r="J148" s="112" t="n">
        <v>1000</v>
      </c>
      <c r="K148" s="112" t="n">
        <v>103</v>
      </c>
      <c r="L148" s="112" t="inlineStr">
        <is>
          <t>建投</t>
        </is>
      </c>
      <c r="P148" s="112" t="inlineStr">
        <is>
          <t>建投</t>
        </is>
      </c>
      <c r="S148" s="112" t="inlineStr">
        <is>
          <t>性价比可以，建议参与</t>
        </is>
      </c>
    </row>
    <row r="149" customFormat="1" s="112">
      <c r="B149" s="112" t="inlineStr">
        <is>
          <t>次级</t>
        </is>
      </c>
      <c r="C149" s="112" t="inlineStr">
        <is>
          <t>不良房贷</t>
        </is>
      </c>
      <c r="D149" s="112" t="inlineStr">
        <is>
          <t>一级</t>
        </is>
      </c>
      <c r="E149" s="110" t="n">
        <v>46155</v>
      </c>
      <c r="F149" s="110" t="n">
        <v>46160</v>
      </c>
      <c r="G149" s="112" t="inlineStr">
        <is>
          <t>鸿富26-2</t>
        </is>
      </c>
      <c r="I149" s="112" t="inlineStr">
        <is>
          <t>1.08/0.42</t>
        </is>
      </c>
      <c r="J149" s="112" t="n">
        <v>600</v>
      </c>
      <c r="K149" s="112" t="n">
        <v>102</v>
      </c>
      <c r="L149" s="112" t="inlineStr">
        <is>
          <t>建投</t>
        </is>
      </c>
      <c r="P149" s="253" t="inlineStr">
        <is>
          <t>建投</t>
        </is>
      </c>
      <c r="S149" s="112" t="inlineStr">
        <is>
          <t>性价比可以，建议参与</t>
        </is>
      </c>
    </row>
    <row r="150">
      <c r="B150" s="0" t="inlineStr">
        <is>
          <t>次级</t>
        </is>
      </c>
      <c r="C150" s="0" t="inlineStr">
        <is>
          <t>不良信用卡</t>
        </is>
      </c>
      <c r="D150" s="308" t="inlineStr">
        <is>
          <t>一级</t>
        </is>
      </c>
      <c r="E150" s="117" t="n">
        <v>46169</v>
      </c>
      <c r="F150" s="117" t="n">
        <v>46170</v>
      </c>
      <c r="G150" s="0" t="inlineStr">
        <is>
          <t>鸿富26-3</t>
        </is>
      </c>
      <c r="I150" s="0" t="inlineStr">
        <is>
          <t>0.48/0.24</t>
        </is>
      </c>
      <c r="L150" s="0" t="inlineStr">
        <is>
          <t>中信/招证</t>
        </is>
      </c>
      <c r="S150" s="0" t="inlineStr">
        <is>
          <t>需要搭售，性价比一般，次级授权106</t>
        </is>
      </c>
    </row>
    <row r="151" customFormat="1" s="112">
      <c r="B151" s="112" t="inlineStr">
        <is>
          <t>次级</t>
        </is>
      </c>
      <c r="C151" s="112" t="inlineStr">
        <is>
          <t>不良信用卡</t>
        </is>
      </c>
      <c r="D151" s="112" t="inlineStr">
        <is>
          <t>一级</t>
        </is>
      </c>
      <c r="E151" s="112" t="inlineStr">
        <is>
          <t>4月中旬</t>
        </is>
      </c>
      <c r="G151" s="112" t="inlineStr">
        <is>
          <t>臻萃26-2</t>
        </is>
      </c>
      <c r="I151" s="112" t="inlineStr">
        <is>
          <t>1.32/0.50</t>
        </is>
      </c>
      <c r="L151" s="112" t="inlineStr">
        <is>
          <t>中信</t>
        </is>
      </c>
      <c r="S151" s="112" t="inlineStr">
        <is>
          <t>108，性价比一般</t>
        </is>
      </c>
    </row>
    <row r="152">
      <c r="B152" s="308" t="inlineStr">
        <is>
          <t>次级</t>
        </is>
      </c>
      <c r="C152" s="308" t="inlineStr">
        <is>
          <t>不良房贷</t>
        </is>
      </c>
      <c r="D152" s="308" t="inlineStr">
        <is>
          <t>一级</t>
        </is>
      </c>
      <c r="E152" s="308" t="inlineStr">
        <is>
          <t>6月上旬</t>
        </is>
      </c>
      <c r="G152" s="0" t="inlineStr">
        <is>
          <t>臻粹26-4</t>
        </is>
      </c>
      <c r="H152" s="308" t="n"/>
      <c r="I152" s="308" t="inlineStr">
        <is>
          <t>1.8/0.6</t>
        </is>
      </c>
      <c r="L152" s="0" t="inlineStr">
        <is>
          <t>中金、银河</t>
        </is>
      </c>
    </row>
    <row r="153">
      <c r="B153" s="308" t="inlineStr">
        <is>
          <t>次级</t>
        </is>
      </c>
      <c r="C153" s="308" t="inlineStr">
        <is>
          <t>不良经营贷</t>
        </is>
      </c>
      <c r="D153" s="308" t="inlineStr">
        <is>
          <t>一级</t>
        </is>
      </c>
      <c r="E153" s="0" t="inlineStr">
        <is>
          <t>6月上旬</t>
        </is>
      </c>
      <c r="G153" s="0" t="inlineStr">
        <is>
          <t>恒焕2026-1</t>
        </is>
      </c>
      <c r="I153" s="0" t="inlineStr">
        <is>
          <t>1.6/0.68</t>
        </is>
      </c>
      <c r="L153" s="0" t="inlineStr">
        <is>
          <t>国泰，招证</t>
        </is>
      </c>
    </row>
  </sheetData>
  <mergeCells count="1">
    <mergeCell ref="J55:J56"/>
  </mergeCells>
  <pageMargins left="0.7" right="0.7" top="0.75" bottom="0.75" header="0.3" footer="0.3"/>
  <pageSetup orientation="portrait" paperSize="9"/>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2:S103"/>
  <sheetViews>
    <sheetView topLeftCell="A28" workbookViewId="0">
      <selection activeCell="N51" sqref="N51"/>
    </sheetView>
  </sheetViews>
  <sheetFormatPr baseColWidth="8" defaultRowHeight="16.5"/>
  <cols>
    <col width="9" customWidth="1" style="326" min="1" max="1"/>
    <col width="14.875" bestFit="1" customWidth="1" style="326" min="3" max="3"/>
    <col width="14.25" customWidth="1" style="326" min="4" max="4"/>
    <col width="16" bestFit="1" customWidth="1" style="326" min="5" max="5"/>
    <col width="14.125" customWidth="1" style="326" min="6" max="6"/>
    <col width="13.25" customWidth="1" style="326" min="7" max="7"/>
    <col width="13.25" customWidth="1" style="326" min="10" max="10"/>
    <col width="14" bestFit="1" customWidth="1" style="326" min="11" max="11"/>
    <col width="13.75" customWidth="1" style="326" min="12" max="12"/>
    <col width="13.125" customWidth="1" style="326" min="13" max="13"/>
    <col width="14.75" customWidth="1" style="326" min="14" max="14"/>
    <col width="14" bestFit="1" customWidth="1" style="326" min="15" max="15"/>
    <col width="13.75" bestFit="1" customWidth="1" style="326" min="20" max="20"/>
  </cols>
  <sheetData>
    <row r="2">
      <c r="E2" s="758" t="inlineStr">
        <is>
          <t>元康盛景28号私募证券投资基金B类</t>
        </is>
      </c>
      <c r="F2" s="0" t="inlineStr">
        <is>
          <t>外贸信托-元康盛景1号证券投资集合资金信托计划</t>
        </is>
      </c>
      <c r="G2" s="0" t="inlineStr">
        <is>
          <t> </t>
        </is>
      </c>
      <c r="H2" s="0" t="inlineStr">
        <is>
          <t> </t>
        </is>
      </c>
      <c r="I2" s="0" t="inlineStr">
        <is>
          <t>外贸信托-朗瑞1号集合资金信托计划第5期信托单元</t>
        </is>
      </c>
      <c r="J2" s="0" t="inlineStr">
        <is>
          <t>外贸信托-朗瑞1号集合资金信托计划第7期信托单元</t>
        </is>
      </c>
      <c r="K2" s="0" t="inlineStr">
        <is>
          <t>粤财信托·鹏雅10号集合资金信托计划（YCXTJG-鹏雅第10号-XT119-002）</t>
        </is>
      </c>
      <c r="L2" s="0" t="inlineStr">
        <is>
          <t>外贸信托-朗瑞1号集合资金信托计划第4期信托单元</t>
        </is>
      </c>
      <c r="M2" s="0" t="inlineStr">
        <is>
          <t>外贸信托-朗瑞1号集合资金信托计划第6期信托单元</t>
        </is>
      </c>
      <c r="N2" s="0" t="inlineStr">
        <is>
          <t>外贸信托-朗瑞1号集合资金信托计划第8期信托单元</t>
        </is>
      </c>
      <c r="O2" s="0" t="inlineStr">
        <is>
          <t>粤财信托·鹏雅10号集合资金信托计划（第120期）</t>
        </is>
      </c>
      <c r="P2" s="0" t="inlineStr">
        <is>
          <t>中航基金瑞华1号单一资产管理计划</t>
        </is>
      </c>
      <c r="Q2" s="0" t="inlineStr">
        <is>
          <t>元康全景1号私募证券投资基金B类</t>
        </is>
      </c>
      <c r="R2" s="0" t="inlineStr">
        <is>
          <t> </t>
        </is>
      </c>
    </row>
    <row r="3">
      <c r="B3" s="117" t="n">
        <v>46122</v>
      </c>
      <c r="C3" s="117" t="n"/>
      <c r="D3" s="117" t="n"/>
      <c r="E3" s="0" t="inlineStr">
        <is>
          <t>正常</t>
        </is>
      </c>
      <c r="F3" s="0" t="inlineStr">
        <is>
          <t>正常</t>
        </is>
      </c>
      <c r="G3" s="0" t="inlineStr">
        <is>
          <t>正常</t>
        </is>
      </c>
      <c r="H3" s="0" t="inlineStr">
        <is>
          <t>正常</t>
        </is>
      </c>
      <c r="I3" s="0" t="inlineStr">
        <is>
          <t>正常</t>
        </is>
      </c>
      <c r="J3" s="0" t="inlineStr">
        <is>
          <t>正常</t>
        </is>
      </c>
      <c r="K3" s="0" t="inlineStr">
        <is>
          <t>正常</t>
        </is>
      </c>
      <c r="L3" s="0" t="inlineStr">
        <is>
          <t>不良</t>
        </is>
      </c>
      <c r="M3" s="0" t="inlineStr">
        <is>
          <t>不良</t>
        </is>
      </c>
      <c r="N3" s="0" t="inlineStr">
        <is>
          <t>不良</t>
        </is>
      </c>
      <c r="O3" s="0" t="inlineStr">
        <is>
          <t>不良</t>
        </is>
      </c>
      <c r="R3" s="0" t="inlineStr">
        <is>
          <t>x</t>
        </is>
      </c>
    </row>
    <row r="4">
      <c r="C4" s="0" t="inlineStr">
        <is>
          <t>基金净资产</t>
        </is>
      </c>
      <c r="D4" s="0" t="inlineStr">
        <is>
          <t>元康26号</t>
        </is>
      </c>
      <c r="E4" s="298" t="inlineStr">
        <is>
          <t>元康28号</t>
        </is>
      </c>
      <c r="F4" s="298" t="inlineStr">
        <is>
          <t>外贸元康1</t>
        </is>
      </c>
      <c r="G4" s="298" t="inlineStr">
        <is>
          <t>朗瑞1-2</t>
        </is>
      </c>
      <c r="H4" s="298" t="inlineStr">
        <is>
          <t>朗瑞1-3</t>
        </is>
      </c>
      <c r="I4" s="298" t="inlineStr">
        <is>
          <t>朗瑞1-5</t>
        </is>
      </c>
      <c r="J4" s="298" t="inlineStr">
        <is>
          <t>朗瑞1-7</t>
        </is>
      </c>
      <c r="K4" s="298" t="inlineStr">
        <is>
          <t>鹏雅119</t>
        </is>
      </c>
      <c r="L4" s="299" t="inlineStr">
        <is>
          <t>朗瑞1-4</t>
        </is>
      </c>
      <c r="M4" s="299" t="inlineStr">
        <is>
          <t>朗瑞1-6</t>
        </is>
      </c>
      <c r="N4" s="299" t="inlineStr">
        <is>
          <t>朗瑞1-8</t>
        </is>
      </c>
      <c r="O4" s="299" t="inlineStr">
        <is>
          <t>鹏雅120</t>
        </is>
      </c>
      <c r="P4" s="0" t="inlineStr">
        <is>
          <t>中航基金</t>
        </is>
      </c>
      <c r="Q4" s="0" t="inlineStr">
        <is>
          <t>全景1号</t>
        </is>
      </c>
      <c r="R4" s="0" t="inlineStr">
        <is>
          <t>朗瑞1-1</t>
        </is>
      </c>
      <c r="S4" s="0" t="inlineStr">
        <is>
          <t>改造计划</t>
        </is>
      </c>
    </row>
    <row r="5">
      <c r="A5" s="0" t="inlineStr">
        <is>
          <t>急迫</t>
        </is>
      </c>
      <c r="B5" s="0" t="inlineStr">
        <is>
          <t>元康1</t>
        </is>
      </c>
      <c r="C5" s="0" t="n">
        <v>1.64</v>
      </c>
      <c r="E5" s="150">
        <f>IFERROR(_xlfn.XLOOKUP(E2,$C$53:$C$58,$E$53:$E$58),"")</f>
        <v/>
      </c>
      <c r="F5" s="150">
        <f>IFERROR(_xlfn.XLOOKUP(F2,$C$53:$C$58,$E$53:$E$58),"")</f>
        <v/>
      </c>
      <c r="G5" s="150">
        <f>IFERROR(_xlfn.XLOOKUP(G2,$C$53:$C$58,$E$53:$E$58),"")</f>
        <v/>
      </c>
      <c r="H5" s="150">
        <f>IFERROR(_xlfn.XLOOKUP(H2,$C$53:$C$58,$E$53:$E$58),"")</f>
        <v/>
      </c>
      <c r="I5" s="150">
        <f>IFERROR(_xlfn.XLOOKUP(I2,$C$53:$C$58,$E$53:$E$58),"")</f>
        <v/>
      </c>
      <c r="J5" s="150">
        <f>IFERROR(_xlfn.XLOOKUP(J2,$C$53:$C$58,$E$53:$E$58),"")</f>
        <v/>
      </c>
      <c r="K5" s="150">
        <f>IFERROR(_xlfn.XLOOKUP(K2,$C$53:$C$58,$E$53:$E$58),"")</f>
        <v/>
      </c>
      <c r="L5" s="150">
        <f>IFERROR(_xlfn.XLOOKUP(L2,$C$53:$C$58,$E$53:$E$58),"")</f>
        <v/>
      </c>
      <c r="M5" s="150">
        <f>IFERROR(_xlfn.XLOOKUP(M2,$C$53:$C$58,$E$53:$E$58),"")</f>
        <v/>
      </c>
      <c r="N5" s="150">
        <f>IFERROR(_xlfn.XLOOKUP(N2,$C$53:$C$58,$E$53:$E$58),"")</f>
        <v/>
      </c>
      <c r="O5" s="150">
        <f>IFERROR(_xlfn.XLOOKUP(O2,$C$53:$C$58,$E$53:$E$58),"")</f>
        <v/>
      </c>
      <c r="P5" s="150">
        <f>IFERROR(_xlfn.XLOOKUP(P2,$C$53:$C$58,$E$53:$E$58),"")</f>
        <v/>
      </c>
      <c r="Q5" s="150">
        <f>IFERROR(_xlfn.XLOOKUP(Q2,$C$53:$C$58,$E$53:$E$58),"")</f>
        <v/>
      </c>
      <c r="R5" s="150">
        <f>IFERROR(_xlfn.XLOOKUP(R2,$C$53:$C$58,$E$53:$E$58),"")</f>
        <v/>
      </c>
    </row>
    <row r="6">
      <c r="A6" s="0" t="inlineStr">
        <is>
          <t>急迫</t>
        </is>
      </c>
      <c r="B6" s="0" t="inlineStr">
        <is>
          <t>元康9</t>
        </is>
      </c>
      <c r="C6" s="0" t="n">
        <v>0.72</v>
      </c>
      <c r="E6" s="150">
        <f>IFERROR(_xlfn.XLOOKUP(E2,$C$27:$C$35,$E$27:$E$35),"")</f>
        <v/>
      </c>
      <c r="F6" s="150">
        <f>IFERROR(_xlfn.XLOOKUP(F2,$C$27:$C$35,$E$27:$E$35),"")</f>
        <v/>
      </c>
      <c r="G6" s="150">
        <f>IFERROR(_xlfn.XLOOKUP(G2,$C$27:$C$35,$E$27:$E$35),"")</f>
        <v/>
      </c>
      <c r="H6" s="150">
        <f>IFERROR(_xlfn.XLOOKUP(H2,$C$27:$C$35,$E$27:$E$35),"")</f>
        <v/>
      </c>
      <c r="I6" s="150">
        <f>IFERROR(_xlfn.XLOOKUP(I2,$C$27:$C$35,$E$27:$E$35),"")</f>
        <v/>
      </c>
      <c r="J6" s="150">
        <f>IFERROR(_xlfn.XLOOKUP(J2,$C$27:$C$35,$E$27:$E$35),"")</f>
        <v/>
      </c>
      <c r="K6" s="150">
        <f>IFERROR(_xlfn.XLOOKUP(K2,$C$27:$C$35,$E$27:$E$35),"")</f>
        <v/>
      </c>
      <c r="L6" s="150">
        <f>IFERROR(_xlfn.XLOOKUP(L2,$C$27:$C$35,$E$27:$E$35),"")</f>
        <v/>
      </c>
      <c r="M6" s="150">
        <f>IFERROR(_xlfn.XLOOKUP(M2,$C$27:$C$35,$E$27:$E$35),"")</f>
        <v/>
      </c>
      <c r="N6" s="150">
        <f>IFERROR(_xlfn.XLOOKUP(N2,$C$27:$C$35,$E$27:$E$35),"")</f>
        <v/>
      </c>
      <c r="O6" s="150">
        <f>IFERROR(_xlfn.XLOOKUP(O2,$C$27:$C$35,$E$27:$E$35),"")</f>
        <v/>
      </c>
      <c r="P6" s="150">
        <f>IFERROR(_xlfn.XLOOKUP(P2,$C$27:$C$35,$E$27:$E$35),"")</f>
        <v/>
      </c>
      <c r="Q6" s="150">
        <f>IFERROR(_xlfn.XLOOKUP(Q2,$C$27:$C$35,$E$27:$E$35),"")</f>
        <v/>
      </c>
      <c r="R6" s="150">
        <f>IFERROR(_xlfn.XLOOKUP(R2,$C$27:$C$35,$E$27:$E$35),"")</f>
        <v/>
      </c>
    </row>
    <row r="7">
      <c r="B7" s="0" t="inlineStr">
        <is>
          <t>元康17</t>
        </is>
      </c>
      <c r="C7" s="0" t="n">
        <v>0.85</v>
      </c>
      <c r="E7" s="150">
        <f>IFERROR(_xlfn.XLOOKUP(E2,$K$27:$K$35,$M$27:$M$35),"")</f>
        <v/>
      </c>
      <c r="F7" s="150">
        <f>IFERROR(_xlfn.XLOOKUP(F2,$K$27:$K$35,$M$27:$M$35),"")</f>
        <v/>
      </c>
      <c r="G7" s="150">
        <f>IFERROR(_xlfn.XLOOKUP(G2,$K$27:$K$35,$M$27:$M$35),"")</f>
        <v/>
      </c>
      <c r="H7" s="150">
        <f>IFERROR(_xlfn.XLOOKUP(H2,$K$27:$K$35,$M$27:$M$35),"")</f>
        <v/>
      </c>
      <c r="I7" s="150">
        <f>IFERROR(_xlfn.XLOOKUP(I2,$K$27:$K$35,$M$27:$M$35),"")</f>
        <v/>
      </c>
      <c r="J7" s="150">
        <f>IFERROR(_xlfn.XLOOKUP(J2,$K$27:$K$35,$M$27:$M$35),"")</f>
        <v/>
      </c>
      <c r="K7" s="150">
        <f>IFERROR(_xlfn.XLOOKUP(K2,$K$27:$K$35,$M$27:$M$35),"")</f>
        <v/>
      </c>
      <c r="L7" s="150">
        <f>IFERROR(_xlfn.XLOOKUP(L2,$K$27:$K$35,$M$27:$M$35),"")</f>
        <v/>
      </c>
      <c r="M7" s="150">
        <f>IFERROR(_xlfn.XLOOKUP(M2,$K$27:$K$35,$M$27:$M$35),"")</f>
        <v/>
      </c>
      <c r="N7" s="150">
        <f>IFERROR(_xlfn.XLOOKUP(N2,$K$27:$K$35,$M$27:$M$35),"")</f>
        <v/>
      </c>
      <c r="O7" s="150">
        <f>IFERROR(_xlfn.XLOOKUP(O2,$K$27:$K$35,$M$27:$M$35),"")</f>
        <v/>
      </c>
      <c r="P7" s="150">
        <f>IFERROR(_xlfn.XLOOKUP(P2,$K$27:$K$35,$M$27:$M$35),"")</f>
        <v/>
      </c>
      <c r="Q7" s="150">
        <f>IFERROR(_xlfn.XLOOKUP(Q2,$K$27:$K$35,$M$27:$M$35),"")</f>
        <v/>
      </c>
      <c r="R7" s="150">
        <f>IFERROR(_xlfn.XLOOKUP(R2,$K$27:$K$35,$M$27:$M$35),"")</f>
        <v/>
      </c>
    </row>
    <row r="8">
      <c r="B8" s="0" t="inlineStr">
        <is>
          <t>元康20</t>
        </is>
      </c>
      <c r="C8" s="0" t="n">
        <v>6.37</v>
      </c>
      <c r="E8" s="150">
        <f>IFERROR(_xlfn.XLOOKUP(E2,$K$53:$K$61,$M$53:$M$61),"")</f>
        <v/>
      </c>
      <c r="F8" s="150">
        <f>IFERROR(_xlfn.XLOOKUP(F2,$K$53:$K$61,$M$53:$M$61),"")</f>
        <v/>
      </c>
      <c r="G8" s="150">
        <f>IFERROR(_xlfn.XLOOKUP(G2,$K$53:$K$61,$M$53:$M$61),"")</f>
        <v/>
      </c>
      <c r="H8" s="150">
        <f>IFERROR(_xlfn.XLOOKUP(H2,$K$53:$K$61,$M$53:$M$61),"")</f>
        <v/>
      </c>
      <c r="I8" s="150">
        <f>IFERROR(_xlfn.XLOOKUP(I2,$K$53:$K$61,$M$53:$M$61),"")</f>
        <v/>
      </c>
      <c r="J8" s="150">
        <f>IFERROR(_xlfn.XLOOKUP(J2,$K$53:$K$61,$M$53:$M$61),"")</f>
        <v/>
      </c>
      <c r="K8" s="150">
        <f>IFERROR(_xlfn.XLOOKUP(K2,$K$53:$K$61,$M$53:$M$61),"")</f>
        <v/>
      </c>
      <c r="L8" s="150">
        <f>IFERROR(_xlfn.XLOOKUP(L2,$K$53:$K$61,$M$53:$M$61),"")</f>
        <v/>
      </c>
      <c r="M8" s="150">
        <f>IFERROR(_xlfn.XLOOKUP(M2,$K$53:$K$61,$M$53:$M$61),"")</f>
        <v/>
      </c>
      <c r="N8" s="150">
        <f>IFERROR(_xlfn.XLOOKUP(N2,$K$53:$K$61,$M$53:$M$61),"")</f>
        <v/>
      </c>
      <c r="O8" s="150">
        <f>IFERROR(_xlfn.XLOOKUP(O2,$K$53:$K$61,$M$53:$M$61),"")</f>
        <v/>
      </c>
      <c r="P8" s="150">
        <f>IFERROR(_xlfn.XLOOKUP(P2,$K$53:$K$61,$M$53:$M$61),"")</f>
        <v/>
      </c>
      <c r="Q8" s="150">
        <f>IFERROR(_xlfn.XLOOKUP(Q2,$K$53:$K$61,$M$53:$M$61),"")</f>
        <v/>
      </c>
    </row>
    <row r="9">
      <c r="B9" s="0" t="inlineStr">
        <is>
          <t>元康29</t>
        </is>
      </c>
      <c r="E9" s="150">
        <f>IFERROR(_xlfn.XLOOKUP(E2,$C$82:$C$90,$E$82:$E$90),"")</f>
        <v/>
      </c>
      <c r="F9" s="150">
        <f>IFERROR(_xlfn.XLOOKUP(F2,$C$82:$C$90,$E$82:$E$90),"")</f>
        <v/>
      </c>
      <c r="G9" s="150">
        <f>IFERROR(_xlfn.XLOOKUP(G2,$C$82:$C$90,$E$82:$E$90),"")</f>
        <v/>
      </c>
      <c r="H9" s="150">
        <f>IFERROR(_xlfn.XLOOKUP(H2,$C$82:$C$90,$E$82:$E$90),"")</f>
        <v/>
      </c>
      <c r="I9" s="150">
        <f>IFERROR(_xlfn.XLOOKUP(I2,$C$82:$C$90,$E$82:$E$90),"")</f>
        <v/>
      </c>
      <c r="J9" s="340" t="inlineStr">
        <is>
          <t>有合同，未签署</t>
        </is>
      </c>
      <c r="K9" s="340" t="inlineStr">
        <is>
          <t>有合同，未签署</t>
        </is>
      </c>
      <c r="L9" s="150">
        <f>IFERROR(_xlfn.XLOOKUP(L2,$C$82:$C$90,$E$82:$E$90),"")</f>
        <v/>
      </c>
      <c r="M9" s="150">
        <f>IFERROR(_xlfn.XLOOKUP(M2,$C$82:$C$90,$E$82:$E$90),"")</f>
        <v/>
      </c>
      <c r="N9" s="150">
        <f>IFERROR(_xlfn.XLOOKUP(N2,$C$82:$C$90,$E$82:$E$90),"")</f>
        <v/>
      </c>
      <c r="O9" s="150">
        <f>IFERROR(_xlfn.XLOOKUP(O2,$C$82:$C$90,$E$82:$E$90),"")</f>
        <v/>
      </c>
      <c r="P9" s="150">
        <f>IFERROR(_xlfn.XLOOKUP(P2,$C$82:$C$90,$E$82:$E$90),"")</f>
        <v/>
      </c>
      <c r="Q9" s="150">
        <f>IFERROR(_xlfn.XLOOKUP(Q2,$C$82:$C$90,$E$82:$E$90),"")</f>
        <v/>
      </c>
      <c r="R9" s="150">
        <f>IFERROR(_xlfn.XLOOKUP(R2,$C$82:$C$90,$E$82:$E$90),"")</f>
        <v/>
      </c>
    </row>
    <row r="10">
      <c r="A10" s="0" t="inlineStr">
        <is>
          <t>已完成</t>
        </is>
      </c>
      <c r="B10" s="0" t="inlineStr">
        <is>
          <t>元康30</t>
        </is>
      </c>
      <c r="E10" s="146" t="n">
        <v>0.21</v>
      </c>
      <c r="F10" s="146" t="n">
        <v>0.21</v>
      </c>
      <c r="I10" s="146" t="n">
        <v>0.21</v>
      </c>
      <c r="J10" s="146" t="n">
        <v>0.18</v>
      </c>
      <c r="K10" s="146" t="n">
        <v>0.2</v>
      </c>
    </row>
    <row r="11">
      <c r="B11" s="0" t="inlineStr">
        <is>
          <t>慧聚领航1号</t>
        </is>
      </c>
      <c r="C11" s="0" t="n">
        <v>1.1</v>
      </c>
      <c r="E11" s="146" t="n">
        <v>0.03</v>
      </c>
      <c r="F11" s="146" t="n">
        <v>0.22</v>
      </c>
      <c r="I11" s="146" t="n">
        <v>0.027</v>
      </c>
      <c r="J11" s="146" t="n">
        <v>0.076</v>
      </c>
      <c r="K11" s="340" t="inlineStr">
        <is>
          <t>有合同，未签署</t>
        </is>
      </c>
      <c r="N11" s="0" t="inlineStr">
        <is>
          <t>已投一丢丢</t>
        </is>
      </c>
      <c r="O11" s="146" t="n">
        <v>0.238</v>
      </c>
      <c r="Q11" s="146" t="n">
        <v>0.148</v>
      </c>
    </row>
    <row r="24">
      <c r="C24" s="117" t="n">
        <v>46154</v>
      </c>
      <c r="K24" s="117" t="n">
        <v>46152</v>
      </c>
    </row>
    <row r="25">
      <c r="C25" s="0" t="inlineStr">
        <is>
          <t>元康9</t>
        </is>
      </c>
      <c r="K25" s="0" t="inlineStr">
        <is>
          <t>元康17</t>
        </is>
      </c>
    </row>
    <row r="26">
      <c r="D26" s="758" t="n">
        <v>62893261.98</v>
      </c>
      <c r="E26" s="0" t="inlineStr">
        <is>
          <t>比例</t>
        </is>
      </c>
      <c r="F26" s="0" t="inlineStr">
        <is>
          <t>调整</t>
        </is>
      </c>
      <c r="G26" s="0" t="inlineStr">
        <is>
          <t>调整后</t>
        </is>
      </c>
      <c r="H26" s="0" t="inlineStr">
        <is>
          <t>比例</t>
        </is>
      </c>
      <c r="L26" s="759" t="n">
        <v>112708420.4</v>
      </c>
      <c r="M26" s="0" t="inlineStr">
        <is>
          <t>比例</t>
        </is>
      </c>
      <c r="N26" s="0" t="inlineStr">
        <is>
          <t>调整</t>
        </is>
      </c>
      <c r="O26" s="0" t="inlineStr">
        <is>
          <t>调整后</t>
        </is>
      </c>
      <c r="P26" s="0" t="inlineStr">
        <is>
          <t>比例</t>
        </is>
      </c>
    </row>
    <row r="27">
      <c r="C27" s="758" t="inlineStr">
        <is>
          <t>外贸信托-元康盛景1号证券投资集合资金信托计划</t>
        </is>
      </c>
      <c r="D27" s="758" t="n">
        <v>11666136.71</v>
      </c>
      <c r="E27" s="464">
        <f>D27/$D$26</f>
        <v/>
      </c>
      <c r="F27" s="563" t="n"/>
      <c r="G27" s="564">
        <f>D27+F27</f>
        <v/>
      </c>
      <c r="H27" s="464">
        <f>G27/($D$26-8000000)</f>
        <v/>
      </c>
      <c r="I27" s="464" t="n"/>
      <c r="K27" s="759" t="inlineStr">
        <is>
          <t>外贸信托-元康盛景1号证券投资集合资金信托计划</t>
        </is>
      </c>
      <c r="L27" s="759" t="n">
        <v>26852581.72</v>
      </c>
      <c r="M27" s="464">
        <f>L27/$L$26</f>
        <v/>
      </c>
      <c r="N27" s="563" t="n"/>
      <c r="O27" s="760">
        <f>L27+N27</f>
        <v/>
      </c>
      <c r="P27" s="464">
        <f>O27/($L$26+9357000)</f>
        <v/>
      </c>
    </row>
    <row r="28">
      <c r="C28" s="758" t="inlineStr">
        <is>
          <t>外贸信托-朗瑞1号集合资金信托计划第5期信托单元</t>
        </is>
      </c>
      <c r="D28" s="758" t="n">
        <v>1290125.49</v>
      </c>
      <c r="E28" s="464">
        <f>D28/$D$26</f>
        <v/>
      </c>
      <c r="F28" s="563" t="n"/>
      <c r="G28" s="760">
        <f>D28+F28</f>
        <v/>
      </c>
      <c r="H28" s="464">
        <f>G28/($D$26-8000000)</f>
        <v/>
      </c>
      <c r="I28" s="464" t="n"/>
      <c r="K28" s="759" t="inlineStr">
        <is>
          <t>外贸信托-朗瑞1号集合资金信托计划第5期信托单元</t>
        </is>
      </c>
      <c r="L28" s="759" t="n">
        <v>28907556.86</v>
      </c>
      <c r="M28" s="464">
        <f>L28/$L$26</f>
        <v/>
      </c>
      <c r="N28" s="563" t="n">
        <v>-15000000</v>
      </c>
      <c r="O28" s="760">
        <f>L28+N28</f>
        <v/>
      </c>
      <c r="P28" s="464">
        <f>O28/($L$26+9357000)</f>
        <v/>
      </c>
    </row>
    <row r="29">
      <c r="C29" s="758" t="inlineStr">
        <is>
          <t>外贸信托-朗瑞1号集合资金信托计划第7期信托单元</t>
        </is>
      </c>
      <c r="D29" s="758" t="n">
        <v>11644640.54</v>
      </c>
      <c r="E29" s="464">
        <f>D29/$D$26</f>
        <v/>
      </c>
      <c r="F29" s="563" t="n"/>
      <c r="G29" s="760">
        <f>D29+F29</f>
        <v/>
      </c>
      <c r="H29" s="464">
        <f>G29/($D$26-8000000)</f>
        <v/>
      </c>
      <c r="I29" s="464">
        <f>H29+H28</f>
        <v/>
      </c>
      <c r="K29" s="759" t="inlineStr">
        <is>
          <t>外贸信托-朗瑞1号集合资金信托计划第7期信托单元</t>
        </is>
      </c>
      <c r="L29" s="759" t="n">
        <v>23280095.24</v>
      </c>
      <c r="M29" s="464">
        <f>L29/$L$26</f>
        <v/>
      </c>
      <c r="N29" s="563" t="n">
        <v>-8000000</v>
      </c>
      <c r="O29" s="760">
        <f>L29+N29</f>
        <v/>
      </c>
      <c r="P29" s="464">
        <f>O29/($L$26+9357000)</f>
        <v/>
      </c>
      <c r="Q29" s="150">
        <f>P28+P29</f>
        <v/>
      </c>
    </row>
    <row r="30">
      <c r="C30" s="758" t="inlineStr">
        <is>
          <t>粤财信托·鹏雅10号集合资金信托计划（YCXTJG-鹏雅第10号-XT119-002）</t>
        </is>
      </c>
      <c r="D30" s="758" t="n">
        <v>11551694.6</v>
      </c>
      <c r="E30" s="464">
        <f>D30/$D$26</f>
        <v/>
      </c>
      <c r="F30" s="563" t="n"/>
      <c r="G30" s="760">
        <f>D30+F30</f>
        <v/>
      </c>
      <c r="H30" s="464">
        <f>G30/($D$26-8000000)</f>
        <v/>
      </c>
      <c r="I30" s="464" t="n"/>
      <c r="K30" s="759" t="inlineStr">
        <is>
          <t>粤财信托·鹏雅10号集合资金信托计划（第119期）</t>
        </is>
      </c>
      <c r="L30" s="759" t="n">
        <v>11857959.82</v>
      </c>
      <c r="M30" s="464">
        <f>L30/$L$26</f>
        <v/>
      </c>
      <c r="N30" s="563" t="n">
        <v>15000000</v>
      </c>
      <c r="O30" s="760">
        <f>L30+N30</f>
        <v/>
      </c>
      <c r="P30" s="464">
        <f>O30/($L$26+9357000)</f>
        <v/>
      </c>
    </row>
    <row r="31">
      <c r="C31" s="758" t="inlineStr">
        <is>
          <t>元康盛景28号私募证券投资基金B类</t>
        </is>
      </c>
      <c r="D31" s="758" t="n">
        <v>9010228.16</v>
      </c>
      <c r="E31" s="464">
        <f>D31/$D$26</f>
        <v/>
      </c>
      <c r="F31" s="563" t="n"/>
      <c r="G31" s="760">
        <f>D31+F31</f>
        <v/>
      </c>
      <c r="H31" s="464">
        <f>G31/($D$26-8000000)</f>
        <v/>
      </c>
      <c r="I31" s="464" t="n"/>
      <c r="K31" s="759" t="inlineStr">
        <is>
          <t>元康盛景28号私募证券投资基金B类</t>
        </is>
      </c>
      <c r="L31" s="759" t="n">
        <v>10023098.21</v>
      </c>
      <c r="M31" s="464">
        <f>L31/$L$26</f>
        <v/>
      </c>
      <c r="N31" s="563" t="n">
        <v>2000000</v>
      </c>
      <c r="O31" s="760">
        <f>L31+N31</f>
        <v/>
      </c>
      <c r="P31" s="464">
        <f>O31/($L$26+9357000)</f>
        <v/>
      </c>
    </row>
    <row r="32">
      <c r="C32" s="758" t="inlineStr">
        <is>
          <t>活期存款</t>
        </is>
      </c>
      <c r="D32" s="758" t="n">
        <v>8655176.09</v>
      </c>
      <c r="F32" s="563" t="n">
        <v>-8000000</v>
      </c>
      <c r="G32" s="760">
        <f>D32+F32</f>
        <v/>
      </c>
      <c r="H32" s="464">
        <f>G32/($D$26-8000000)</f>
        <v/>
      </c>
      <c r="I32" s="464" t="n"/>
      <c r="K32" s="759" t="inlineStr">
        <is>
          <t>银行存款</t>
        </is>
      </c>
      <c r="L32" s="759" t="n">
        <v>2025.63</v>
      </c>
      <c r="M32" s="464">
        <f>L32/$L$26</f>
        <v/>
      </c>
      <c r="N32" s="563" t="n">
        <v>-11500000</v>
      </c>
      <c r="O32" s="760" t="n">
        <v>11878173.33</v>
      </c>
      <c r="P32" s="464">
        <f>O32/($L$26+9357000)</f>
        <v/>
      </c>
    </row>
    <row r="33">
      <c r="C33" s="758" t="inlineStr">
        <is>
          <t>新疆国信</t>
        </is>
      </c>
      <c r="D33" s="758" t="n">
        <v>9162000</v>
      </c>
      <c r="F33" s="563" t="n"/>
      <c r="G33" s="760">
        <f>D33+F33</f>
        <v/>
      </c>
      <c r="H33" s="464">
        <f>G33/($D$26-8000000)</f>
        <v/>
      </c>
      <c r="K33" s="761" t="inlineStr">
        <is>
          <t>昆仑信托</t>
        </is>
      </c>
      <c r="N33" s="564" t="n"/>
      <c r="O33" s="760">
        <f>L33+N33</f>
        <v/>
      </c>
      <c r="P33" s="464">
        <f>O33/($L$26+9357000)</f>
        <v/>
      </c>
    </row>
    <row r="34">
      <c r="F34" s="563" t="n"/>
      <c r="G34" s="760">
        <f>D34+F34</f>
        <v/>
      </c>
      <c r="H34" s="464">
        <f>G34/($D$26-8000000)</f>
        <v/>
      </c>
      <c r="K34" s="762" t="inlineStr">
        <is>
          <t>回购</t>
        </is>
      </c>
      <c r="N34" s="563" t="n">
        <v>8000000</v>
      </c>
      <c r="O34" s="760">
        <f>L34+N34</f>
        <v/>
      </c>
      <c r="P34" s="464">
        <f>O34/($L$26+9357000)</f>
        <v/>
      </c>
    </row>
    <row r="35">
      <c r="C35" s="762" t="inlineStr">
        <is>
          <t>昆仑信托</t>
        </is>
      </c>
      <c r="F35" s="577" t="n"/>
      <c r="G35" s="760">
        <f>D35+F35</f>
        <v/>
      </c>
      <c r="H35" s="464">
        <f>G35/($D$26-8000000)</f>
        <v/>
      </c>
      <c r="K35" s="762" t="inlineStr">
        <is>
          <t>元康31号</t>
        </is>
      </c>
      <c r="N35" s="760" t="n">
        <v>11500000</v>
      </c>
      <c r="O35" s="760">
        <f>L35+N35</f>
        <v/>
      </c>
      <c r="P35" s="464">
        <f>O35/($L$26+9357000)</f>
        <v/>
      </c>
    </row>
    <row r="36">
      <c r="C36" s="763" t="inlineStr">
        <is>
          <t>元康31号</t>
        </is>
      </c>
      <c r="F36" s="563" t="n">
        <v>5000000</v>
      </c>
      <c r="G36" s="760">
        <f>D36+F36</f>
        <v/>
      </c>
      <c r="H36" s="464">
        <f>G36/($D$26-8000000)</f>
        <v/>
      </c>
    </row>
    <row r="37">
      <c r="C37" s="763" t="n"/>
      <c r="F37" s="563" t="n"/>
      <c r="G37" s="760">
        <f>D37+F37</f>
        <v/>
      </c>
      <c r="H37" s="464">
        <f>G37/($D$26-8000000)</f>
        <v/>
      </c>
      <c r="N37" s="573">
        <f>SUM(N27:N35)</f>
        <v/>
      </c>
    </row>
    <row r="38">
      <c r="C38" s="763" t="n"/>
      <c r="F38" s="573" t="n"/>
      <c r="N38" s="573" t="n"/>
    </row>
    <row r="39">
      <c r="C39" s="763" t="n"/>
      <c r="F39" s="573" t="n"/>
      <c r="N39" s="573" t="n"/>
    </row>
    <row r="40">
      <c r="C40" s="461" t="n"/>
      <c r="D40" s="562" t="n"/>
      <c r="E40" s="562" t="n"/>
      <c r="F40" s="764" t="n"/>
      <c r="K40" s="461" t="n"/>
      <c r="L40" s="562" t="n"/>
      <c r="M40" s="562" t="n"/>
      <c r="N40" s="764" t="n"/>
    </row>
    <row r="41">
      <c r="C41" s="461" t="n"/>
      <c r="D41" s="562" t="n"/>
      <c r="E41" s="562" t="n"/>
      <c r="F41" s="764" t="n"/>
      <c r="K41" s="461" t="n"/>
      <c r="L41" s="562" t="n"/>
      <c r="M41" s="562" t="n"/>
      <c r="N41" s="764" t="n"/>
    </row>
    <row r="42">
      <c r="C42" s="514" t="n"/>
      <c r="D42" s="562" t="inlineStr">
        <is>
          <t>银行存款</t>
        </is>
      </c>
      <c r="E42" s="562" t="n">
        <v>865</v>
      </c>
      <c r="F42" s="562" t="n"/>
      <c r="K42" s="532" t="n"/>
      <c r="L42" s="112" t="inlineStr">
        <is>
          <t>银行存款</t>
        </is>
      </c>
      <c r="M42" s="112">
        <f>1187+800</f>
        <v/>
      </c>
      <c r="N42" s="576" t="n"/>
    </row>
    <row r="43">
      <c r="C43" s="453" t="n"/>
      <c r="F43" s="573" t="n"/>
      <c r="K43" s="169" t="inlineStr">
        <is>
          <t>5月份</t>
        </is>
      </c>
      <c r="L43" s="0" t="inlineStr">
        <is>
          <t>外贸-元康1号赎回</t>
        </is>
      </c>
      <c r="N43" s="573" t="n"/>
    </row>
    <row r="44">
      <c r="C44" s="453" t="n"/>
      <c r="L44" s="0" t="inlineStr">
        <is>
          <t>朗瑞1号5、7期赎回</t>
        </is>
      </c>
      <c r="M44" s="0" t="n">
        <v>2300</v>
      </c>
    </row>
    <row r="45">
      <c r="C45" s="453" t="n"/>
      <c r="L45" s="0" t="inlineStr">
        <is>
          <t>回购</t>
        </is>
      </c>
      <c r="N45" s="573" t="n">
        <v>800</v>
      </c>
    </row>
    <row r="46">
      <c r="C46" s="453" t="n"/>
      <c r="D46" s="0" t="inlineStr">
        <is>
          <t>赎回</t>
        </is>
      </c>
      <c r="F46" s="0" t="n">
        <v>800</v>
      </c>
      <c r="L46" s="0" t="inlineStr">
        <is>
          <t>鹏雅119</t>
        </is>
      </c>
      <c r="N46" s="573" t="n">
        <v>1100</v>
      </c>
    </row>
    <row r="47">
      <c r="C47" s="453" t="n">
        <v>46155</v>
      </c>
      <c r="D47" s="0" t="inlineStr">
        <is>
          <t>元康31号</t>
        </is>
      </c>
      <c r="F47" s="0" t="n">
        <v>500</v>
      </c>
      <c r="L47" s="0" t="inlineStr">
        <is>
          <t>元康28号</t>
        </is>
      </c>
      <c r="N47" s="573" t="n">
        <v>200</v>
      </c>
    </row>
    <row r="48">
      <c r="C48" s="763" t="n"/>
      <c r="E48" s="0">
        <f>SUM(E42:E47)</f>
        <v/>
      </c>
      <c r="F48" s="573">
        <f>SUM(F43:F47)</f>
        <v/>
      </c>
      <c r="G48" s="0">
        <f>E48-F48</f>
        <v/>
      </c>
      <c r="K48" s="117" t="n">
        <v>46155</v>
      </c>
      <c r="L48" s="0" t="inlineStr">
        <is>
          <t>元康31号</t>
        </is>
      </c>
      <c r="N48" s="573" t="n">
        <v>1150</v>
      </c>
    </row>
    <row r="49">
      <c r="C49" s="763" t="n"/>
      <c r="F49" s="573" t="n"/>
      <c r="M49" s="0">
        <f>SUM(M42:M48)</f>
        <v/>
      </c>
      <c r="N49" s="573">
        <f>SUM(N42:N48)</f>
        <v/>
      </c>
      <c r="O49" s="573">
        <f>M49-N49</f>
        <v/>
      </c>
    </row>
    <row r="50">
      <c r="C50" s="763" t="n"/>
      <c r="F50" s="573" t="n"/>
      <c r="N50" s="573" t="n"/>
    </row>
    <row r="51">
      <c r="C51" s="117" t="n">
        <v>46152</v>
      </c>
      <c r="F51" s="573" t="n"/>
    </row>
    <row r="52">
      <c r="B52" s="0" t="inlineStr">
        <is>
          <t>4月底</t>
        </is>
      </c>
      <c r="C52" s="763" t="inlineStr">
        <is>
          <t>元康盛景1号</t>
        </is>
      </c>
      <c r="D52" s="759" t="n">
        <v>168631489.21</v>
      </c>
      <c r="E52" s="0" t="inlineStr">
        <is>
          <t>比例</t>
        </is>
      </c>
      <c r="F52" s="0" t="inlineStr">
        <is>
          <t>调整</t>
        </is>
      </c>
      <c r="G52" s="0" t="inlineStr">
        <is>
          <t>调整后</t>
        </is>
      </c>
      <c r="H52" s="0" t="inlineStr">
        <is>
          <t>比例</t>
        </is>
      </c>
    </row>
    <row r="53">
      <c r="C53" s="759" t="inlineStr">
        <is>
          <t>外贸信托-元康盛景1号证券投资集合资金信托计划</t>
        </is>
      </c>
      <c r="D53" s="759" t="n">
        <v>37796621.38</v>
      </c>
      <c r="E53" s="464">
        <f>D53/$D$52</f>
        <v/>
      </c>
      <c r="F53" s="563" t="n"/>
      <c r="G53" s="765">
        <f>D53+F53</f>
        <v/>
      </c>
      <c r="H53" s="464">
        <f>G53/($D$52+4500000)</f>
        <v/>
      </c>
    </row>
    <row r="54">
      <c r="C54" s="759" t="inlineStr">
        <is>
          <t>外贸信托-朗瑞1号集合资金信托计划第5期信托单元</t>
        </is>
      </c>
      <c r="D54" s="759" t="n">
        <v>32591541.91</v>
      </c>
      <c r="E54" s="464">
        <f>D54/$D$52</f>
        <v/>
      </c>
      <c r="F54" s="563" t="n"/>
      <c r="G54" s="765">
        <f>D54+F54</f>
        <v/>
      </c>
      <c r="H54" s="464">
        <f>G54/($D$52+4500000)</f>
        <v/>
      </c>
    </row>
    <row r="55">
      <c r="C55" s="759" t="inlineStr">
        <is>
          <t>外贸信托-朗瑞1号集合资金信托计划第7期信托单元</t>
        </is>
      </c>
      <c r="D55" s="759" t="n">
        <v>5567498.72</v>
      </c>
      <c r="E55" s="464">
        <f>D55/$D$52</f>
        <v/>
      </c>
      <c r="F55" s="563" t="n"/>
      <c r="G55" s="765">
        <f>D55+F55</f>
        <v/>
      </c>
      <c r="H55" s="464">
        <f>G55/($D$52+4500000)</f>
        <v/>
      </c>
      <c r="I55" s="150">
        <f>H55+H54</f>
        <v/>
      </c>
    </row>
    <row r="56">
      <c r="C56" s="759" t="inlineStr">
        <is>
          <t>粤财信托·鹏雅10号集合资金信托计划（第119期）</t>
        </is>
      </c>
      <c r="D56" s="759" t="n">
        <v>30545678.76</v>
      </c>
      <c r="E56" s="464">
        <f>D56/$D$52</f>
        <v/>
      </c>
      <c r="F56" s="563" t="n"/>
      <c r="G56" s="765">
        <f>D56+F56</f>
        <v/>
      </c>
      <c r="H56" s="464">
        <f>G56/($D$52+4500000)</f>
        <v/>
      </c>
    </row>
    <row r="57">
      <c r="C57" s="759" t="inlineStr">
        <is>
          <t>元康盛景28号私募证券投资基金B类</t>
        </is>
      </c>
      <c r="D57" s="759" t="n">
        <v>16016800.96</v>
      </c>
      <c r="E57" s="464">
        <f>D57/$D$52</f>
        <v/>
      </c>
      <c r="F57" s="563" t="n"/>
      <c r="G57" s="765">
        <f>D57+F57</f>
        <v/>
      </c>
      <c r="H57" s="464">
        <f>G57/($D$52+4500000)</f>
        <v/>
      </c>
    </row>
    <row r="58">
      <c r="C58" s="758" t="inlineStr">
        <is>
          <t>银行存款</t>
        </is>
      </c>
      <c r="D58" s="759" t="n">
        <v>9110000</v>
      </c>
      <c r="E58" s="464">
        <f>D58/$D$52</f>
        <v/>
      </c>
      <c r="F58" s="563" t="n">
        <v>-7000000</v>
      </c>
      <c r="G58" s="765">
        <f>D58+F58</f>
        <v/>
      </c>
      <c r="H58" s="464">
        <f>G58/($D$52+4500000)</f>
        <v/>
      </c>
    </row>
    <row r="59">
      <c r="C59" s="759" t="inlineStr">
        <is>
          <t>新疆国信</t>
        </is>
      </c>
      <c r="D59" s="759" t="n">
        <v>25416325</v>
      </c>
      <c r="E59" s="464">
        <f>D59/$D$52</f>
        <v/>
      </c>
      <c r="F59" s="563" t="n"/>
      <c r="G59" s="765">
        <f>D59+F59</f>
        <v/>
      </c>
      <c r="H59" s="464">
        <f>G59/($D$52+4500000)</f>
        <v/>
      </c>
    </row>
    <row r="60">
      <c r="D60" s="766" t="n"/>
      <c r="F60" s="767" t="n"/>
      <c r="G60" s="765">
        <f>D60+F60</f>
        <v/>
      </c>
    </row>
    <row r="61">
      <c r="C61" s="763" t="n"/>
      <c r="D61" s="766" t="n"/>
      <c r="F61" s="767" t="n"/>
      <c r="G61" s="765">
        <f>D61+F61</f>
        <v/>
      </c>
      <c r="H61" s="464" t="n"/>
    </row>
    <row r="62">
      <c r="C62" s="763" t="inlineStr">
        <is>
          <t>昆仑信托</t>
        </is>
      </c>
      <c r="F62" s="563" t="n"/>
      <c r="G62" s="765">
        <f>D62+F62</f>
        <v/>
      </c>
      <c r="H62" s="464" t="n"/>
    </row>
    <row r="63">
      <c r="C63" s="763" t="inlineStr">
        <is>
          <t>元康31号</t>
        </is>
      </c>
      <c r="F63" s="563" t="n">
        <v>7000000</v>
      </c>
      <c r="G63" s="765">
        <f>D63+F63</f>
        <v/>
      </c>
      <c r="H63" s="464">
        <f>G63/$D$52</f>
        <v/>
      </c>
    </row>
    <row r="64">
      <c r="C64" s="763" t="n"/>
      <c r="F64" s="563" t="n"/>
      <c r="G64" s="760" t="n"/>
    </row>
    <row r="65">
      <c r="F65" s="563" t="n"/>
    </row>
    <row r="67">
      <c r="B67" s="453" t="n">
        <v>46133</v>
      </c>
      <c r="C67" s="562" t="inlineStr">
        <is>
          <t>朗瑞1号5期</t>
        </is>
      </c>
      <c r="D67" s="562" t="n">
        <v>800</v>
      </c>
      <c r="E67" s="562" t="n"/>
    </row>
    <row r="68">
      <c r="B68" s="453" t="n">
        <v>46134</v>
      </c>
      <c r="C68" s="562" t="inlineStr">
        <is>
          <t>元康28号申购</t>
        </is>
      </c>
      <c r="D68" s="562" t="n"/>
      <c r="E68" s="562" t="n">
        <v>800</v>
      </c>
    </row>
    <row r="69">
      <c r="B69" s="453" t="n">
        <v>46140</v>
      </c>
      <c r="C69" s="562" t="inlineStr">
        <is>
          <t>外贸-元康1号赎回</t>
        </is>
      </c>
      <c r="D69" s="562" t="n">
        <v>6800</v>
      </c>
      <c r="E69" s="562" t="n"/>
    </row>
    <row r="70">
      <c r="B70" s="453" t="n">
        <v>46140</v>
      </c>
      <c r="C70" s="562" t="inlineStr">
        <is>
          <t>鹏雅10号119期申购</t>
        </is>
      </c>
      <c r="D70" s="562" t="n"/>
      <c r="E70" s="562" t="n">
        <v>3000</v>
      </c>
      <c r="F70" s="0" t="inlineStr">
        <is>
          <t>弗迪</t>
        </is>
      </c>
    </row>
    <row r="71">
      <c r="B71" s="453" t="n">
        <v>46140</v>
      </c>
      <c r="C71" s="562" t="inlineStr">
        <is>
          <t>私募reits（ABS夹层）</t>
        </is>
      </c>
      <c r="D71" s="562" t="n"/>
      <c r="E71" s="562" t="n">
        <v>2500</v>
      </c>
      <c r="F71" s="0" t="inlineStr">
        <is>
          <t>考虑ABS优先级</t>
        </is>
      </c>
    </row>
    <row r="72">
      <c r="B72" s="453" t="n">
        <v>46141</v>
      </c>
      <c r="C72" s="562" t="inlineStr">
        <is>
          <t>元康28号申购</t>
        </is>
      </c>
      <c r="D72" s="562" t="n"/>
      <c r="E72" s="562" t="n">
        <v>800</v>
      </c>
    </row>
    <row r="73">
      <c r="B73" s="117" t="n">
        <v>46155</v>
      </c>
      <c r="C73" s="0" t="inlineStr">
        <is>
          <t>元康31号申购</t>
        </is>
      </c>
      <c r="E73" s="0" t="n">
        <v>700</v>
      </c>
    </row>
    <row r="74">
      <c r="B74" s="169" t="n"/>
      <c r="D74" s="0">
        <f>SUM(D67:D72)</f>
        <v/>
      </c>
      <c r="E74" s="0">
        <f>SUM(E67:E73)</f>
        <v/>
      </c>
      <c r="F74" s="0">
        <f>+D74-E74</f>
        <v/>
      </c>
    </row>
    <row r="75">
      <c r="B75" s="169" t="n"/>
    </row>
    <row r="80">
      <c r="C80" s="117" t="n">
        <v>46148</v>
      </c>
      <c r="F80" s="573" t="n"/>
      <c r="K80" s="117" t="n">
        <v>46139</v>
      </c>
      <c r="N80" s="573" t="n"/>
    </row>
    <row r="81">
      <c r="C81" s="763" t="inlineStr">
        <is>
          <t>元康盛景29号</t>
        </is>
      </c>
      <c r="D81" s="517" t="n">
        <v>594325886.87</v>
      </c>
      <c r="E81" s="0" t="inlineStr">
        <is>
          <t>比例</t>
        </is>
      </c>
      <c r="F81" s="0" t="inlineStr">
        <is>
          <t>调整</t>
        </is>
      </c>
      <c r="G81" s="0" t="inlineStr">
        <is>
          <t>调整后</t>
        </is>
      </c>
      <c r="H81" s="0" t="inlineStr">
        <is>
          <t>比例</t>
        </is>
      </c>
      <c r="K81" s="0" t="inlineStr">
        <is>
          <t>元康盛景20号</t>
        </is>
      </c>
      <c r="L81" s="492" t="n">
        <v>674301474.9</v>
      </c>
      <c r="M81" s="0" t="inlineStr">
        <is>
          <t>比例</t>
        </is>
      </c>
      <c r="N81" s="0" t="inlineStr">
        <is>
          <t>调整</t>
        </is>
      </c>
      <c r="O81" s="0" t="inlineStr">
        <is>
          <t>调整后</t>
        </is>
      </c>
      <c r="P81" s="0" t="inlineStr">
        <is>
          <t>比例</t>
        </is>
      </c>
    </row>
    <row r="82">
      <c r="C82" s="515" t="inlineStr">
        <is>
          <t>国投泰康信托斑羚8号服务信托</t>
        </is>
      </c>
      <c r="D82" s="516" t="n">
        <v>37215492.84</v>
      </c>
      <c r="E82" s="464">
        <f>D82/$D$81</f>
        <v/>
      </c>
      <c r="F82" s="563" t="n"/>
      <c r="G82" s="760">
        <f>D82+F82</f>
        <v/>
      </c>
      <c r="H82" s="464">
        <f>G82/$D$81</f>
        <v/>
      </c>
      <c r="K82" s="490" t="inlineStr">
        <is>
          <t>外贸信托-朗瑞1号集合资金信托计划第5期信托单元</t>
        </is>
      </c>
      <c r="L82" s="491" t="n">
        <v>532920911.12</v>
      </c>
      <c r="M82" s="464">
        <f>L82/$L$81</f>
        <v/>
      </c>
      <c r="O82" s="760">
        <f>L82+N82</f>
        <v/>
      </c>
      <c r="P82" s="464">
        <f>O82/$L$81</f>
        <v/>
      </c>
    </row>
    <row r="83">
      <c r="C83" s="515" t="inlineStr">
        <is>
          <t>外贸信托-朗瑞1号集合资金信托计划第5期信托单元</t>
        </is>
      </c>
      <c r="D83" s="516" t="n">
        <v>69151774.73999999</v>
      </c>
      <c r="E83" s="464">
        <f>D83/$D$81</f>
        <v/>
      </c>
      <c r="F83" s="563" t="n"/>
      <c r="G83" s="760">
        <f>D83+F83</f>
        <v/>
      </c>
      <c r="H83" s="464">
        <f>G83/$D$81</f>
        <v/>
      </c>
      <c r="K83" s="490" t="inlineStr">
        <is>
          <t>外贸信托-朗瑞1号集合资金信托计划第7期信托单元</t>
        </is>
      </c>
      <c r="L83" s="491" t="n">
        <v>43311952.28</v>
      </c>
      <c r="M83" s="464">
        <f>L83/$L$81</f>
        <v/>
      </c>
      <c r="O83" s="760">
        <f>L83+N83</f>
        <v/>
      </c>
      <c r="P83" s="464">
        <f>O83/$L$81</f>
        <v/>
      </c>
    </row>
    <row r="84">
      <c r="C84" s="515" t="inlineStr">
        <is>
          <t>外贸信托-朗瑞1号集合资金信托计划第8期信托单元</t>
        </is>
      </c>
      <c r="D84" s="516" t="n">
        <v>329810799.03</v>
      </c>
      <c r="E84" s="464">
        <f>D84/$D$81</f>
        <v/>
      </c>
      <c r="F84" s="563" t="n">
        <v>-200000000</v>
      </c>
      <c r="G84" s="760">
        <f>D84+F84</f>
        <v/>
      </c>
      <c r="H84" s="464">
        <f>G84/$D$81</f>
        <v/>
      </c>
      <c r="K84" s="490" t="inlineStr">
        <is>
          <t>外贸信托-元康盛景1号证券投资集合资金信托计划</t>
        </is>
      </c>
      <c r="L84" s="491" t="n">
        <v>25317522.16</v>
      </c>
      <c r="M84" s="464">
        <f>L84/$L$81</f>
        <v/>
      </c>
      <c r="O84" s="760">
        <f>L84+N84</f>
        <v/>
      </c>
      <c r="P84" s="464">
        <f>O84/$L$81</f>
        <v/>
      </c>
    </row>
    <row r="85">
      <c r="C85" s="515" t="inlineStr">
        <is>
          <t>中航信托·天成启盈1号集合资金信托计划第15期</t>
        </is>
      </c>
      <c r="D85" s="516" t="n">
        <v>14109396.53</v>
      </c>
      <c r="E85" s="464">
        <f>D85/$D$81</f>
        <v/>
      </c>
      <c r="F85" s="563" t="n"/>
      <c r="G85" s="760">
        <f>D85+F85</f>
        <v/>
      </c>
      <c r="H85" s="464">
        <f>G85/$D$81</f>
        <v/>
      </c>
      <c r="O85" s="760">
        <f>L85+N85</f>
        <v/>
      </c>
      <c r="P85" s="464">
        <f>O85/$L$81</f>
        <v/>
      </c>
    </row>
    <row r="86">
      <c r="C86" s="515" t="inlineStr">
        <is>
          <t>粤财信托·鹏雅10号集合资金信托计划（第120期）</t>
        </is>
      </c>
      <c r="D86" s="516" t="n">
        <v>73461177.97</v>
      </c>
      <c r="E86" s="464">
        <f>D86/$D$81</f>
        <v/>
      </c>
      <c r="F86" s="563" t="n">
        <v>65000000</v>
      </c>
      <c r="G86" s="760">
        <f>D86+F86</f>
        <v/>
      </c>
      <c r="H86" s="464">
        <f>G86/$D$81</f>
        <v/>
      </c>
      <c r="K86" s="0" t="inlineStr">
        <is>
          <t>外贸-元康1号</t>
        </is>
      </c>
      <c r="N86" s="563" t="n"/>
      <c r="O86" s="760">
        <f>L86+N86</f>
        <v/>
      </c>
      <c r="P86" s="464">
        <f>O86/$L$81</f>
        <v/>
      </c>
    </row>
    <row r="87">
      <c r="C87" s="515" t="inlineStr">
        <is>
          <t>元康全景1号私募证券投资基金B类</t>
        </is>
      </c>
      <c r="D87" s="516" t="n">
        <v>38535544.03</v>
      </c>
      <c r="E87" s="464">
        <f>D87/$D$81</f>
        <v/>
      </c>
      <c r="F87" s="563" t="n">
        <v>15000000</v>
      </c>
      <c r="G87" s="760">
        <f>D87+F87</f>
        <v/>
      </c>
      <c r="H87" s="464">
        <f>G87/$D$81</f>
        <v/>
      </c>
      <c r="K87" s="0" t="inlineStr">
        <is>
          <t>鹏雅119</t>
        </is>
      </c>
      <c r="O87" s="760">
        <f>L87+N87</f>
        <v/>
      </c>
      <c r="P87" s="464">
        <f>O87/$L$81</f>
        <v/>
      </c>
    </row>
    <row r="88">
      <c r="C88" s="763" t="n"/>
      <c r="D88" s="766" t="n"/>
      <c r="F88" s="767" t="n"/>
      <c r="G88" s="760">
        <f>D88+F88</f>
        <v/>
      </c>
      <c r="H88" s="464">
        <f>G88/$D$81</f>
        <v/>
      </c>
    </row>
    <row r="89">
      <c r="C89" s="763" t="inlineStr">
        <is>
          <t>朗瑞1-4</t>
        </is>
      </c>
      <c r="D89" s="766" t="n"/>
      <c r="F89" s="563" t="n">
        <v>60000000</v>
      </c>
      <c r="G89" s="760">
        <f>D89+F89</f>
        <v/>
      </c>
      <c r="H89" s="464">
        <f>G89/$D$81</f>
        <v/>
      </c>
    </row>
    <row r="90">
      <c r="C90" s="763" t="inlineStr">
        <is>
          <t>朗瑞1-6</t>
        </is>
      </c>
      <c r="F90" s="563" t="n">
        <v>60000000</v>
      </c>
      <c r="G90" s="760">
        <f>D90+F90</f>
        <v/>
      </c>
      <c r="H90" s="464">
        <f>G90/$D$81</f>
        <v/>
      </c>
    </row>
    <row r="91">
      <c r="C91" s="763" t="n"/>
      <c r="F91" s="563" t="n"/>
      <c r="G91" s="760">
        <f>D91+F91</f>
        <v/>
      </c>
      <c r="H91" s="464">
        <f>G91/$D$81</f>
        <v/>
      </c>
    </row>
    <row r="92">
      <c r="C92" s="763" t="n"/>
      <c r="F92" s="563" t="n"/>
      <c r="G92" s="760">
        <f>D92+F92</f>
        <v/>
      </c>
      <c r="H92" s="464">
        <f>G92/$D$81</f>
        <v/>
      </c>
    </row>
    <row r="93">
      <c r="F93" s="563">
        <f>SUM(F82:F91)</f>
        <v/>
      </c>
    </row>
    <row r="96">
      <c r="C96" s="117" t="n"/>
    </row>
    <row r="97">
      <c r="C97" s="117" t="n"/>
    </row>
    <row r="98">
      <c r="C98" s="117" t="n"/>
    </row>
    <row r="99">
      <c r="C99" s="117" t="n"/>
    </row>
    <row r="100">
      <c r="C100" s="117" t="n"/>
    </row>
    <row r="101">
      <c r="C101" s="117" t="n"/>
    </row>
    <row r="102">
      <c r="C102" s="117" t="n"/>
    </row>
    <row r="103">
      <c r="C103" s="117" t="n"/>
    </row>
  </sheetData>
  <conditionalFormatting sqref="E5:R11">
    <cfRule type="containsBlanks" priority="1" stopIfTrue="1">
      <formula>LEN(TRIM(E5))=0</formula>
    </cfRule>
  </conditionalFormatting>
  <conditionalFormatting sqref="E5:S11">
    <cfRule type="cellIs" priority="2" operator="greaterThan" dxfId="0">
      <formula>0.25</formula>
    </cfRule>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刘 靖涛</dc:creator>
  <dcterms:created xsi:type="dcterms:W3CDTF">2026-01-06T10:19:05Z</dcterms:created>
  <dcterms:modified xsi:type="dcterms:W3CDTF">2026-05-22T09:28:53Z</dcterms:modified>
  <cp:lastModifiedBy>万 景龙</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0x0101002581AF7AD83F4F458C2F95D8D62E2B57</vt:lpwstr>
  </property>
  <property name="EM_Doc_Temp_ID" fmtid="{D5CDD505-2E9C-101B-9397-08002B2CF9AE}" pid="3">
    <vt:lpwstr>32DC9140-1C09-43FB-8E06-D4E6BC0C162F</vt:lpwstr>
  </property>
</Properties>
</file>